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2DF6B63E-F3BB-41B2-8A0D-CA93BD748C8A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Relevant Programs" sheetId="5" r:id="rId2"/>
    <sheet name="CanBeAdded" sheetId="7" r:id="rId3"/>
    <sheet name="Rankings_Exp" sheetId="10" r:id="rId4"/>
    <sheet name="Rankings" sheetId="9" r:id="rId5"/>
    <sheet name="CS_Ranking_Lkp" sheetId="8" r:id="rId6"/>
    <sheet name="Citites" sheetId="6" r:id="rId7"/>
    <sheet name="Application Checklist" sheetId="4" r:id="rId8"/>
    <sheet name="University Application" sheetId="1" r:id="rId9"/>
  </sheets>
  <definedNames>
    <definedName name="_xlnm._FilterDatabase" localSheetId="3" hidden="1">Rankings_Exp!$A$3:$AM$60</definedName>
    <definedName name="_xlnm._FilterDatabase" localSheetId="0" hidden="1">'Universities Selection'!$A$2:$AG$60</definedName>
    <definedName name="AI_Rank">CS_Ranking_Lkp!$B$3:$E$211</definedName>
    <definedName name="Back_Lkp" localSheetId="3">Rankings_Exp!$B$3:$D$60</definedName>
    <definedName name="Back_Lkp">Rankings!$B$3:$C$60</definedName>
    <definedName name="InterD_Rank">CS_Ranking_Lkp!$W$3:$Z$119</definedName>
    <definedName name="Overall_Rank">Rankings_Exp!$B$3:$C$60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0" l="1"/>
  <c r="H3" i="10"/>
  <c r="H4" i="10"/>
  <c r="H32" i="10"/>
  <c r="H33" i="10"/>
  <c r="H5" i="10"/>
  <c r="H34" i="10"/>
  <c r="H35" i="10"/>
  <c r="H6" i="10"/>
  <c r="H7" i="10"/>
  <c r="H8" i="10"/>
  <c r="H36" i="10"/>
  <c r="H9" i="10"/>
  <c r="H37" i="10"/>
  <c r="H10" i="10"/>
  <c r="H11" i="10"/>
  <c r="H12" i="10"/>
  <c r="H38" i="10"/>
  <c r="H13" i="10"/>
  <c r="H39" i="10"/>
  <c r="H14" i="10"/>
  <c r="H40" i="10"/>
  <c r="H41" i="10"/>
  <c r="H42" i="10"/>
  <c r="H15" i="10"/>
  <c r="H16" i="10"/>
  <c r="H43" i="10"/>
  <c r="H17" i="10"/>
  <c r="H44" i="10"/>
  <c r="H18" i="10"/>
  <c r="H45" i="10"/>
  <c r="H19" i="10"/>
  <c r="H20" i="10"/>
  <c r="H46" i="10"/>
  <c r="H47" i="10"/>
  <c r="H48" i="10"/>
  <c r="H21" i="10"/>
  <c r="H49" i="10"/>
  <c r="H50" i="10"/>
  <c r="H22" i="10"/>
  <c r="H23" i="10"/>
  <c r="H51" i="10"/>
  <c r="H52" i="10"/>
  <c r="H53" i="10"/>
  <c r="H54" i="10"/>
  <c r="H24" i="10"/>
  <c r="H55" i="10"/>
  <c r="H56" i="10"/>
  <c r="H25" i="10"/>
  <c r="H26" i="10"/>
  <c r="H57" i="10"/>
  <c r="H58" i="10"/>
  <c r="H59" i="10"/>
  <c r="H27" i="10"/>
  <c r="H60" i="10"/>
  <c r="H28" i="10"/>
  <c r="H29" i="10"/>
  <c r="H30" i="10"/>
  <c r="D64" i="10"/>
  <c r="D61" i="10"/>
  <c r="L60" i="10" l="1"/>
  <c r="L31" i="10"/>
  <c r="L3" i="10"/>
  <c r="L4" i="10"/>
  <c r="L34" i="10"/>
  <c r="L32" i="10"/>
  <c r="L38" i="10"/>
  <c r="L12" i="10"/>
  <c r="L39" i="10"/>
  <c r="L8" i="10"/>
  <c r="L35" i="10"/>
  <c r="L33" i="10"/>
  <c r="L10" i="10"/>
  <c r="L5" i="10"/>
  <c r="L6" i="10"/>
  <c r="L42" i="10"/>
  <c r="L41" i="10"/>
  <c r="L36" i="10"/>
  <c r="L7" i="10"/>
  <c r="L9" i="10"/>
  <c r="L15" i="10"/>
  <c r="L16" i="10"/>
  <c r="L37" i="10"/>
  <c r="L13" i="10"/>
  <c r="L46" i="10"/>
  <c r="L40" i="10"/>
  <c r="L14" i="10"/>
  <c r="L11" i="10"/>
  <c r="L43" i="10"/>
  <c r="L18" i="10"/>
  <c r="L44" i="10"/>
  <c r="L47" i="10"/>
  <c r="L17" i="10"/>
  <c r="L45" i="10"/>
  <c r="L19" i="10"/>
  <c r="L20" i="10"/>
  <c r="L21" i="10"/>
  <c r="L23" i="10"/>
  <c r="L22" i="10"/>
  <c r="L48" i="10"/>
  <c r="L49" i="10"/>
  <c r="L53" i="10"/>
  <c r="L58" i="10"/>
  <c r="L50" i="10"/>
  <c r="L51" i="10"/>
  <c r="L59" i="10"/>
  <c r="L54" i="10"/>
  <c r="L24" i="10"/>
  <c r="L52" i="10"/>
  <c r="L25" i="10"/>
  <c r="L55" i="10"/>
  <c r="L56" i="10"/>
  <c r="L26" i="10"/>
  <c r="L57" i="10"/>
  <c r="L27" i="10"/>
  <c r="L29" i="10"/>
  <c r="K60" i="10"/>
  <c r="K31" i="10"/>
  <c r="K3" i="10"/>
  <c r="K4" i="10"/>
  <c r="K34" i="10"/>
  <c r="K32" i="10"/>
  <c r="K38" i="10"/>
  <c r="K12" i="10"/>
  <c r="K39" i="10"/>
  <c r="K8" i="10"/>
  <c r="K35" i="10"/>
  <c r="K33" i="10"/>
  <c r="K10" i="10"/>
  <c r="K5" i="10"/>
  <c r="K6" i="10"/>
  <c r="K42" i="10"/>
  <c r="K41" i="10"/>
  <c r="K36" i="10"/>
  <c r="K7" i="10"/>
  <c r="K9" i="10"/>
  <c r="K15" i="10"/>
  <c r="K16" i="10"/>
  <c r="K37" i="10"/>
  <c r="K13" i="10"/>
  <c r="K46" i="10"/>
  <c r="K40" i="10"/>
  <c r="K14" i="10"/>
  <c r="K11" i="10"/>
  <c r="K43" i="10"/>
  <c r="K18" i="10"/>
  <c r="K44" i="10"/>
  <c r="K47" i="10"/>
  <c r="K17" i="10"/>
  <c r="K45" i="10"/>
  <c r="K19" i="10"/>
  <c r="K20" i="10"/>
  <c r="K21" i="10"/>
  <c r="K23" i="10"/>
  <c r="K22" i="10"/>
  <c r="K48" i="10"/>
  <c r="K49" i="10"/>
  <c r="K53" i="10"/>
  <c r="K58" i="10"/>
  <c r="K50" i="10"/>
  <c r="K51" i="10"/>
  <c r="K59" i="10"/>
  <c r="K54" i="10"/>
  <c r="K24" i="10"/>
  <c r="K52" i="10"/>
  <c r="K25" i="10"/>
  <c r="K55" i="10"/>
  <c r="K56" i="10"/>
  <c r="K26" i="10"/>
  <c r="K57" i="10"/>
  <c r="K27" i="10"/>
  <c r="K29" i="10"/>
  <c r="J31" i="10"/>
  <c r="J3" i="10"/>
  <c r="J4" i="10"/>
  <c r="J34" i="10"/>
  <c r="J32" i="10"/>
  <c r="J38" i="10"/>
  <c r="J12" i="10"/>
  <c r="J39" i="10"/>
  <c r="J8" i="10"/>
  <c r="J35" i="10"/>
  <c r="J33" i="10"/>
  <c r="J10" i="10"/>
  <c r="J5" i="10"/>
  <c r="J6" i="10"/>
  <c r="J42" i="10"/>
  <c r="J41" i="10"/>
  <c r="J36" i="10"/>
  <c r="J7" i="10"/>
  <c r="J9" i="10"/>
  <c r="J15" i="10"/>
  <c r="J16" i="10"/>
  <c r="J37" i="10"/>
  <c r="J13" i="10"/>
  <c r="J46" i="10"/>
  <c r="J40" i="10"/>
  <c r="J14" i="10"/>
  <c r="J11" i="10"/>
  <c r="J43" i="10"/>
  <c r="J18" i="10"/>
  <c r="J44" i="10"/>
  <c r="J47" i="10"/>
  <c r="J17" i="10"/>
  <c r="J45" i="10"/>
  <c r="J19" i="10"/>
  <c r="J20" i="10"/>
  <c r="J21" i="10"/>
  <c r="J23" i="10"/>
  <c r="J22" i="10"/>
  <c r="J48" i="10"/>
  <c r="J49" i="10"/>
  <c r="J53" i="10"/>
  <c r="J58" i="10"/>
  <c r="J50" i="10"/>
  <c r="J51" i="10"/>
  <c r="J59" i="10"/>
  <c r="J54" i="10"/>
  <c r="J24" i="10"/>
  <c r="J52" i="10"/>
  <c r="J25" i="10"/>
  <c r="J55" i="10"/>
  <c r="J56" i="10"/>
  <c r="J26" i="10"/>
  <c r="J57" i="10"/>
  <c r="J27" i="10"/>
  <c r="J29" i="10"/>
  <c r="J60" i="10"/>
  <c r="L30" i="10"/>
  <c r="K30" i="10"/>
  <c r="J30" i="10"/>
  <c r="I31" i="10"/>
  <c r="I3" i="10"/>
  <c r="I4" i="10"/>
  <c r="I34" i="10"/>
  <c r="I32" i="10"/>
  <c r="I38" i="10"/>
  <c r="I12" i="10"/>
  <c r="I39" i="10"/>
  <c r="I8" i="10"/>
  <c r="I35" i="10"/>
  <c r="I33" i="10"/>
  <c r="I10" i="10"/>
  <c r="I5" i="10"/>
  <c r="I6" i="10"/>
  <c r="I42" i="10"/>
  <c r="I41" i="10"/>
  <c r="I36" i="10"/>
  <c r="I7" i="10"/>
  <c r="I9" i="10"/>
  <c r="I15" i="10"/>
  <c r="I16" i="10"/>
  <c r="I37" i="10"/>
  <c r="I13" i="10"/>
  <c r="I46" i="10"/>
  <c r="I40" i="10"/>
  <c r="I14" i="10"/>
  <c r="I11" i="10"/>
  <c r="I43" i="10"/>
  <c r="I18" i="10"/>
  <c r="I44" i="10"/>
  <c r="I47" i="10"/>
  <c r="I17" i="10"/>
  <c r="I45" i="10"/>
  <c r="I19" i="10"/>
  <c r="I20" i="10"/>
  <c r="I21" i="10"/>
  <c r="I23" i="10"/>
  <c r="I22" i="10"/>
  <c r="I48" i="10"/>
  <c r="I49" i="10"/>
  <c r="I53" i="10"/>
  <c r="I58" i="10"/>
  <c r="I50" i="10"/>
  <c r="I51" i="10"/>
  <c r="I59" i="10"/>
  <c r="I54" i="10"/>
  <c r="I24" i="10"/>
  <c r="I52" i="10"/>
  <c r="I25" i="10"/>
  <c r="I55" i="10"/>
  <c r="I56" i="10"/>
  <c r="I26" i="10"/>
  <c r="I57" i="10"/>
  <c r="I27" i="10"/>
  <c r="I29" i="10"/>
  <c r="I60" i="10"/>
  <c r="I30" i="10"/>
  <c r="I64" i="10" l="1"/>
  <c r="L62" i="10"/>
  <c r="J63" i="10"/>
  <c r="K63" i="10"/>
  <c r="K62" i="10"/>
  <c r="J64" i="10"/>
  <c r="L61" i="10"/>
  <c r="I61" i="10"/>
  <c r="I62" i="10"/>
  <c r="J61" i="10"/>
  <c r="K64" i="10"/>
  <c r="L63" i="10"/>
  <c r="I63" i="10"/>
  <c r="J62" i="10"/>
  <c r="K61" i="10"/>
  <c r="L64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5" i="10" l="1"/>
  <c r="I65" i="10"/>
  <c r="K65" i="10"/>
  <c r="J65" i="10"/>
  <c r="F64" i="10"/>
  <c r="F63" i="10"/>
  <c r="F62" i="10"/>
  <c r="F61" i="10"/>
  <c r="D63" i="10"/>
  <c r="D62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43" i="10"/>
  <c r="AG43" i="10"/>
  <c r="AE43" i="10"/>
  <c r="AC43" i="10"/>
  <c r="AA43" i="10"/>
  <c r="Y43" i="10"/>
  <c r="W43" i="10"/>
  <c r="U43" i="10"/>
  <c r="S43" i="10"/>
  <c r="Q43" i="10"/>
  <c r="O43" i="10"/>
  <c r="M43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19" i="10"/>
  <c r="AG19" i="10"/>
  <c r="AE19" i="10"/>
  <c r="AC19" i="10"/>
  <c r="AA19" i="10"/>
  <c r="Y19" i="10"/>
  <c r="W19" i="10"/>
  <c r="U19" i="10"/>
  <c r="S19" i="10"/>
  <c r="Q19" i="10"/>
  <c r="O19" i="10"/>
  <c r="M19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44" i="10"/>
  <c r="AG44" i="10"/>
  <c r="AE44" i="10"/>
  <c r="AC44" i="10"/>
  <c r="AA44" i="10"/>
  <c r="Y44" i="10"/>
  <c r="W44" i="10"/>
  <c r="U44" i="10"/>
  <c r="S44" i="10"/>
  <c r="Q44" i="10"/>
  <c r="O44" i="10"/>
  <c r="M44" i="10"/>
  <c r="AI7" i="10"/>
  <c r="AG7" i="10"/>
  <c r="AE7" i="10"/>
  <c r="AC7" i="10"/>
  <c r="AA7" i="10"/>
  <c r="Y7" i="10"/>
  <c r="W7" i="10"/>
  <c r="U7" i="10"/>
  <c r="S7" i="10"/>
  <c r="Q7" i="10"/>
  <c r="O7" i="10"/>
  <c r="M7" i="10"/>
  <c r="AI9" i="10"/>
  <c r="AG9" i="10"/>
  <c r="AE9" i="10"/>
  <c r="AC9" i="10"/>
  <c r="AA9" i="10"/>
  <c r="Y9" i="10"/>
  <c r="W9" i="10"/>
  <c r="U9" i="10"/>
  <c r="S9" i="10"/>
  <c r="Q9" i="10"/>
  <c r="O9" i="10"/>
  <c r="M9" i="10"/>
  <c r="AI32" i="10"/>
  <c r="AG32" i="10"/>
  <c r="AE32" i="10"/>
  <c r="AC32" i="10"/>
  <c r="AA32" i="10"/>
  <c r="Y32" i="10"/>
  <c r="W32" i="10"/>
  <c r="U32" i="10"/>
  <c r="S32" i="10"/>
  <c r="Q32" i="10"/>
  <c r="O32" i="10"/>
  <c r="M32" i="10"/>
  <c r="AI6" i="10"/>
  <c r="AG6" i="10"/>
  <c r="AE6" i="10"/>
  <c r="AC6" i="10"/>
  <c r="AA6" i="10"/>
  <c r="Y6" i="10"/>
  <c r="W6" i="10"/>
  <c r="U6" i="10"/>
  <c r="S6" i="10"/>
  <c r="Q6" i="10"/>
  <c r="O6" i="10"/>
  <c r="M6" i="10"/>
  <c r="AI8" i="10"/>
  <c r="AG8" i="10"/>
  <c r="AE8" i="10"/>
  <c r="AC8" i="10"/>
  <c r="AA8" i="10"/>
  <c r="Y8" i="10"/>
  <c r="W8" i="10"/>
  <c r="U8" i="10"/>
  <c r="S8" i="10"/>
  <c r="Q8" i="10"/>
  <c r="O8" i="10"/>
  <c r="M8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55" i="10"/>
  <c r="AG55" i="10"/>
  <c r="AE55" i="10"/>
  <c r="AC55" i="10"/>
  <c r="AA55" i="10"/>
  <c r="Y55" i="10"/>
  <c r="W55" i="10"/>
  <c r="U55" i="10"/>
  <c r="S55" i="10"/>
  <c r="Q55" i="10"/>
  <c r="O55" i="10"/>
  <c r="M55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51" i="10"/>
  <c r="AG51" i="10"/>
  <c r="AE51" i="10"/>
  <c r="AC51" i="10"/>
  <c r="AA51" i="10"/>
  <c r="Y51" i="10"/>
  <c r="Q51" i="10"/>
  <c r="O51" i="10"/>
  <c r="M51" i="10"/>
  <c r="AI22" i="10"/>
  <c r="AG22" i="10"/>
  <c r="AE22" i="10"/>
  <c r="AC22" i="10"/>
  <c r="AA22" i="10"/>
  <c r="Y22" i="10"/>
  <c r="W22" i="10"/>
  <c r="U22" i="10"/>
  <c r="S22" i="10"/>
  <c r="Q22" i="10"/>
  <c r="O22" i="10"/>
  <c r="M22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AI36" i="10"/>
  <c r="AG36" i="10"/>
  <c r="AE36" i="10"/>
  <c r="AC36" i="10"/>
  <c r="AA36" i="10"/>
  <c r="Y36" i="10"/>
  <c r="W36" i="10"/>
  <c r="U36" i="10"/>
  <c r="S36" i="10"/>
  <c r="Q36" i="10"/>
  <c r="O36" i="10"/>
  <c r="M36" i="10"/>
  <c r="W23" i="10"/>
  <c r="U23" i="10"/>
  <c r="S23" i="10"/>
  <c r="Q23" i="10"/>
  <c r="O23" i="10"/>
  <c r="M23" i="10"/>
  <c r="W15" i="10"/>
  <c r="U15" i="10"/>
  <c r="S15" i="10"/>
  <c r="Q15" i="10"/>
  <c r="O15" i="10"/>
  <c r="M15" i="10"/>
  <c r="AI4" i="10"/>
  <c r="AG4" i="10"/>
  <c r="AE4" i="10"/>
  <c r="AC4" i="10"/>
  <c r="AA4" i="10"/>
  <c r="Y4" i="10"/>
  <c r="W4" i="10"/>
  <c r="U4" i="10"/>
  <c r="S4" i="10"/>
  <c r="Q4" i="10"/>
  <c r="O4" i="10"/>
  <c r="M4" i="10"/>
  <c r="W16" i="10"/>
  <c r="U16" i="10"/>
  <c r="S16" i="10"/>
  <c r="Q16" i="10"/>
  <c r="O16" i="10"/>
  <c r="M16" i="10"/>
  <c r="W12" i="10"/>
  <c r="U12" i="10"/>
  <c r="S12" i="10"/>
  <c r="Q12" i="10"/>
  <c r="O12" i="10"/>
  <c r="M12" i="10"/>
  <c r="W42" i="10"/>
  <c r="U42" i="10"/>
  <c r="S42" i="10"/>
  <c r="Q42" i="10"/>
  <c r="O42" i="10"/>
  <c r="M42" i="10"/>
  <c r="W41" i="10"/>
  <c r="U41" i="10"/>
  <c r="S41" i="10"/>
  <c r="Q41" i="10"/>
  <c r="O41" i="10"/>
  <c r="M41" i="10"/>
  <c r="W38" i="10"/>
  <c r="U38" i="10"/>
  <c r="S38" i="10"/>
  <c r="Q38" i="10"/>
  <c r="O38" i="10"/>
  <c r="M38" i="10"/>
  <c r="AC46" i="10"/>
  <c r="AA46" i="10"/>
  <c r="Y46" i="10"/>
  <c r="W46" i="10"/>
  <c r="U46" i="10"/>
  <c r="S46" i="10"/>
  <c r="Q46" i="10"/>
  <c r="O46" i="10"/>
  <c r="M46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60" i="10"/>
  <c r="AG60" i="10"/>
  <c r="AE60" i="10"/>
  <c r="AC60" i="10"/>
  <c r="AA60" i="10"/>
  <c r="Y60" i="10"/>
  <c r="W60" i="10"/>
  <c r="U60" i="10"/>
  <c r="S60" i="10"/>
  <c r="Q60" i="10"/>
  <c r="O60" i="10"/>
  <c r="M60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52" i="10"/>
  <c r="AG52" i="10"/>
  <c r="AE52" i="10"/>
  <c r="AC52" i="10"/>
  <c r="AA52" i="10"/>
  <c r="Y52" i="10"/>
  <c r="W52" i="10"/>
  <c r="U52" i="10"/>
  <c r="S52" i="10"/>
  <c r="Q52" i="10"/>
  <c r="O52" i="10"/>
  <c r="M52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20" i="10"/>
  <c r="AG20" i="10"/>
  <c r="AE20" i="10"/>
  <c r="AC20" i="10"/>
  <c r="AA20" i="10"/>
  <c r="Y20" i="10"/>
  <c r="W20" i="10"/>
  <c r="U20" i="10"/>
  <c r="S20" i="10"/>
  <c r="Q20" i="10"/>
  <c r="O20" i="10"/>
  <c r="M20" i="10"/>
  <c r="W18" i="10"/>
  <c r="U18" i="10"/>
  <c r="S18" i="10"/>
  <c r="Q18" i="10"/>
  <c r="O18" i="10"/>
  <c r="M18" i="10"/>
  <c r="W53" i="10"/>
  <c r="U53" i="10"/>
  <c r="S53" i="10"/>
  <c r="Q53" i="10"/>
  <c r="O53" i="10"/>
  <c r="M53" i="10"/>
  <c r="AI26" i="10"/>
  <c r="AG26" i="10"/>
  <c r="AE26" i="10"/>
  <c r="AC26" i="10"/>
  <c r="AA26" i="10"/>
  <c r="Y26" i="10"/>
  <c r="Q26" i="10"/>
  <c r="O26" i="10"/>
  <c r="M26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28" i="10"/>
  <c r="AG28" i="10"/>
  <c r="AE28" i="10"/>
  <c r="AC28" i="10"/>
  <c r="AA28" i="10"/>
  <c r="Y28" i="10"/>
  <c r="W28" i="10"/>
  <c r="U28" i="10"/>
  <c r="S28" i="10"/>
  <c r="Q28" i="10"/>
  <c r="O28" i="10"/>
  <c r="M28" i="10"/>
  <c r="AI54" i="10"/>
  <c r="AG54" i="10"/>
  <c r="AE54" i="10"/>
  <c r="AC54" i="10"/>
  <c r="AA54" i="10"/>
  <c r="Y54" i="10"/>
  <c r="W54" i="10"/>
  <c r="U54" i="10"/>
  <c r="S54" i="10"/>
  <c r="Q54" i="10"/>
  <c r="O54" i="10"/>
  <c r="M54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AI27" i="10"/>
  <c r="AG27" i="10"/>
  <c r="AE27" i="10"/>
  <c r="AC27" i="10"/>
  <c r="AA27" i="10"/>
  <c r="Y27" i="10"/>
  <c r="W27" i="10"/>
  <c r="U27" i="10"/>
  <c r="S27" i="10"/>
  <c r="Q27" i="10"/>
  <c r="O27" i="10"/>
  <c r="M27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5" i="10"/>
  <c r="AG5" i="10"/>
  <c r="AE5" i="10"/>
  <c r="AC5" i="10"/>
  <c r="AA5" i="10"/>
  <c r="Y5" i="10"/>
  <c r="W5" i="10"/>
  <c r="U5" i="10"/>
  <c r="S5" i="10"/>
  <c r="Q5" i="10"/>
  <c r="O5" i="10"/>
  <c r="M5" i="10"/>
  <c r="W39" i="10"/>
  <c r="U39" i="10"/>
  <c r="S39" i="10"/>
  <c r="Q39" i="10"/>
  <c r="O39" i="10"/>
  <c r="M3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AI3" i="10"/>
  <c r="AG3" i="10"/>
  <c r="AE3" i="10"/>
  <c r="AC3" i="10"/>
  <c r="AA3" i="10"/>
  <c r="Y3" i="10"/>
  <c r="W3" i="10"/>
  <c r="U3" i="10"/>
  <c r="S3" i="10"/>
  <c r="Q3" i="10"/>
  <c r="O3" i="10"/>
  <c r="M3" i="10"/>
  <c r="AI25" i="10"/>
  <c r="AG25" i="10"/>
  <c r="AE25" i="10"/>
  <c r="AC25" i="10"/>
  <c r="AA25" i="10"/>
  <c r="Y25" i="10"/>
  <c r="Q25" i="10"/>
  <c r="O25" i="10"/>
  <c r="M25" i="10"/>
  <c r="E32" i="10" l="1"/>
  <c r="E33" i="10"/>
  <c r="E37" i="10"/>
  <c r="E44" i="10"/>
  <c r="E49" i="10"/>
  <c r="E51" i="10"/>
  <c r="E55" i="10"/>
  <c r="E30" i="10"/>
  <c r="E12" i="10"/>
  <c r="E6" i="10"/>
  <c r="E16" i="10"/>
  <c r="E18" i="10"/>
  <c r="E21" i="10"/>
  <c r="E25" i="10"/>
  <c r="E29" i="10"/>
  <c r="E41" i="10"/>
  <c r="E45" i="10"/>
  <c r="E54" i="10"/>
  <c r="E3" i="10"/>
  <c r="E9" i="10"/>
  <c r="E19" i="10"/>
  <c r="E22" i="10"/>
  <c r="E36" i="10"/>
  <c r="E50" i="10"/>
  <c r="E60" i="10"/>
  <c r="E5" i="10"/>
  <c r="E38" i="10"/>
  <c r="E42" i="10"/>
  <c r="E46" i="10"/>
  <c r="E47" i="10"/>
  <c r="E53" i="10"/>
  <c r="E59" i="10"/>
  <c r="E56" i="10"/>
  <c r="E31" i="10"/>
  <c r="E8" i="10"/>
  <c r="E7" i="10"/>
  <c r="E13" i="10"/>
  <c r="E17" i="10"/>
  <c r="E23" i="10"/>
  <c r="E26" i="10"/>
  <c r="E34" i="10"/>
  <c r="E39" i="10"/>
  <c r="E40" i="10"/>
  <c r="E58" i="10"/>
  <c r="E57" i="10"/>
  <c r="E10" i="10"/>
  <c r="E14" i="10"/>
  <c r="E28" i="10"/>
  <c r="E35" i="10"/>
  <c r="E43" i="10"/>
  <c r="E48" i="10"/>
  <c r="E52" i="10"/>
  <c r="E4" i="10"/>
  <c r="E15" i="10"/>
  <c r="E27" i="10"/>
  <c r="E11" i="10"/>
  <c r="E20" i="10"/>
  <c r="E24" i="10"/>
  <c r="G32" i="10"/>
  <c r="G33" i="10"/>
  <c r="G37" i="10"/>
  <c r="G44" i="10"/>
  <c r="G49" i="10"/>
  <c r="G51" i="10"/>
  <c r="G55" i="10"/>
  <c r="G30" i="10"/>
  <c r="G12" i="10"/>
  <c r="G6" i="10"/>
  <c r="G16" i="10"/>
  <c r="G18" i="10"/>
  <c r="G21" i="10"/>
  <c r="G25" i="10"/>
  <c r="G29" i="10"/>
  <c r="G41" i="10"/>
  <c r="G40" i="10"/>
  <c r="G58" i="10"/>
  <c r="G57" i="10"/>
  <c r="G10" i="10"/>
  <c r="G14" i="10"/>
  <c r="G22" i="10"/>
  <c r="G35" i="10"/>
  <c r="G43" i="10"/>
  <c r="G50" i="10"/>
  <c r="G60" i="10"/>
  <c r="G5" i="10"/>
  <c r="G11" i="10"/>
  <c r="G24" i="10"/>
  <c r="G38" i="10"/>
  <c r="G42" i="10"/>
  <c r="G46" i="10"/>
  <c r="G47" i="10"/>
  <c r="G53" i="10"/>
  <c r="G59" i="10"/>
  <c r="G56" i="10"/>
  <c r="G31" i="10"/>
  <c r="G8" i="10"/>
  <c r="G7" i="10"/>
  <c r="G13" i="10"/>
  <c r="G17" i="10"/>
  <c r="G23" i="10"/>
  <c r="G26" i="10"/>
  <c r="G34" i="10"/>
  <c r="G39" i="10"/>
  <c r="G45" i="10"/>
  <c r="G54" i="10"/>
  <c r="G3" i="10"/>
  <c r="G9" i="10"/>
  <c r="G19" i="10"/>
  <c r="G28" i="10"/>
  <c r="G36" i="10"/>
  <c r="G48" i="10"/>
  <c r="G52" i="10"/>
  <c r="G4" i="10"/>
  <c r="G15" i="10"/>
  <c r="G20" i="10"/>
  <c r="G27" i="10"/>
  <c r="F65" i="10"/>
  <c r="Y63" i="10"/>
  <c r="AG62" i="10"/>
  <c r="M64" i="10"/>
  <c r="AA63" i="10"/>
  <c r="AI63" i="10"/>
  <c r="S63" i="10"/>
  <c r="O64" i="10"/>
  <c r="W64" i="10"/>
  <c r="AE62" i="10"/>
  <c r="U63" i="10"/>
  <c r="AC61" i="10"/>
  <c r="O61" i="10"/>
  <c r="AC64" i="10"/>
  <c r="U64" i="10"/>
  <c r="V38" i="10" s="1"/>
  <c r="Q61" i="10"/>
  <c r="Q63" i="10"/>
  <c r="AE61" i="10"/>
  <c r="AE65" i="10" s="1"/>
  <c r="W62" i="10"/>
  <c r="S62" i="10"/>
  <c r="AA61" i="10"/>
  <c r="AC63" i="10"/>
  <c r="AE64" i="10"/>
  <c r="O62" i="10"/>
  <c r="Q62" i="10"/>
  <c r="W61" i="10"/>
  <c r="Y61" i="10"/>
  <c r="AA62" i="10"/>
  <c r="AC62" i="10"/>
  <c r="AI61" i="10"/>
  <c r="O63" i="10"/>
  <c r="W63" i="10"/>
  <c r="AE63" i="10"/>
  <c r="Q64" i="10"/>
  <c r="R51" i="10" s="1"/>
  <c r="Y64" i="10"/>
  <c r="Z45" i="10" s="1"/>
  <c r="AG64" i="10"/>
  <c r="M62" i="10"/>
  <c r="M61" i="10"/>
  <c r="M63" i="10"/>
  <c r="U61" i="10"/>
  <c r="Y62" i="10"/>
  <c r="AG61" i="10"/>
  <c r="AI62" i="10"/>
  <c r="AG63" i="10"/>
  <c r="S64" i="10"/>
  <c r="AA64" i="10"/>
  <c r="AB4" i="10" s="1"/>
  <c r="AI64" i="10"/>
  <c r="AJ14" i="10" s="1"/>
  <c r="S61" i="10"/>
  <c r="S65" i="10" s="1"/>
  <c r="U62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P27" i="10" l="1"/>
  <c r="AH60" i="10"/>
  <c r="AF24" i="10"/>
  <c r="X25" i="10"/>
  <c r="X59" i="10"/>
  <c r="X51" i="10"/>
  <c r="X26" i="10"/>
  <c r="X58" i="10"/>
  <c r="X3" i="10"/>
  <c r="X13" i="10"/>
  <c r="X28" i="10"/>
  <c r="X17" i="10"/>
  <c r="X4" i="10"/>
  <c r="X40" i="10"/>
  <c r="X37" i="10"/>
  <c r="X30" i="10"/>
  <c r="X39" i="10"/>
  <c r="X27" i="10"/>
  <c r="X21" i="10"/>
  <c r="X15" i="10"/>
  <c r="X49" i="10"/>
  <c r="X53" i="10"/>
  <c r="X52" i="10"/>
  <c r="X31" i="10"/>
  <c r="X57" i="10"/>
  <c r="X8" i="10"/>
  <c r="X7" i="10"/>
  <c r="X19" i="10"/>
  <c r="X38" i="10"/>
  <c r="X35" i="10"/>
  <c r="X5" i="10"/>
  <c r="X48" i="10"/>
  <c r="X41" i="10"/>
  <c r="X36" i="10"/>
  <c r="X50" i="10"/>
  <c r="X20" i="10"/>
  <c r="X47" i="10"/>
  <c r="X46" i="10"/>
  <c r="X34" i="10"/>
  <c r="X54" i="10"/>
  <c r="X18" i="10"/>
  <c r="X12" i="10"/>
  <c r="X14" i="10"/>
  <c r="X22" i="10"/>
  <c r="P39" i="10"/>
  <c r="P24" i="10"/>
  <c r="P22" i="10"/>
  <c r="R43" i="10"/>
  <c r="AH11" i="10"/>
  <c r="R44" i="10"/>
  <c r="R32" i="10"/>
  <c r="AH10" i="10"/>
  <c r="R55" i="10"/>
  <c r="AJ50" i="10"/>
  <c r="AB40" i="10"/>
  <c r="X23" i="10"/>
  <c r="R46" i="10"/>
  <c r="X45" i="10"/>
  <c r="X9" i="10"/>
  <c r="X24" i="10"/>
  <c r="R22" i="10"/>
  <c r="R40" i="10"/>
  <c r="AH41" i="10"/>
  <c r="AH39" i="10"/>
  <c r="AH42" i="10"/>
  <c r="AH53" i="10"/>
  <c r="AH58" i="10"/>
  <c r="AH12" i="10"/>
  <c r="AH15" i="10"/>
  <c r="AH23" i="10"/>
  <c r="AH59" i="10"/>
  <c r="AH38" i="10"/>
  <c r="AH16" i="10"/>
  <c r="AH18" i="10"/>
  <c r="AH46" i="10"/>
  <c r="AH25" i="10"/>
  <c r="AH35" i="10"/>
  <c r="AH5" i="10"/>
  <c r="AH13" i="10"/>
  <c r="AH48" i="10"/>
  <c r="AH28" i="10"/>
  <c r="AH17" i="10"/>
  <c r="AH29" i="10"/>
  <c r="AH52" i="10"/>
  <c r="AH4" i="10"/>
  <c r="AH36" i="10"/>
  <c r="AH40" i="10"/>
  <c r="AH50" i="10"/>
  <c r="AH47" i="10"/>
  <c r="AH30" i="10"/>
  <c r="AH57" i="10"/>
  <c r="AH24" i="10"/>
  <c r="AH8" i="10"/>
  <c r="AH32" i="10"/>
  <c r="AH7" i="10"/>
  <c r="AH33" i="10"/>
  <c r="AH19" i="10"/>
  <c r="AH3" i="10"/>
  <c r="AH34" i="10"/>
  <c r="AH27" i="10"/>
  <c r="AH54" i="10"/>
  <c r="AH21" i="10"/>
  <c r="AH26" i="10"/>
  <c r="AH20" i="10"/>
  <c r="AH37" i="10"/>
  <c r="P13" i="10"/>
  <c r="P43" i="10"/>
  <c r="P31" i="10"/>
  <c r="P14" i="10"/>
  <c r="AH56" i="10"/>
  <c r="AH45" i="10"/>
  <c r="R11" i="10"/>
  <c r="R7" i="10"/>
  <c r="AH6" i="10"/>
  <c r="R10" i="10"/>
  <c r="R57" i="10"/>
  <c r="AB50" i="10"/>
  <c r="AH31" i="10"/>
  <c r="R60" i="10"/>
  <c r="X11" i="10"/>
  <c r="X32" i="10"/>
  <c r="X55" i="10"/>
  <c r="R50" i="10"/>
  <c r="AH14" i="10"/>
  <c r="X60" i="10"/>
  <c r="AJ12" i="10"/>
  <c r="AJ15" i="10"/>
  <c r="AJ23" i="10"/>
  <c r="AJ59" i="10"/>
  <c r="AJ38" i="10"/>
  <c r="AJ16" i="10"/>
  <c r="AJ18" i="10"/>
  <c r="AJ46" i="10"/>
  <c r="AJ41" i="10"/>
  <c r="AJ39" i="10"/>
  <c r="AJ42" i="10"/>
  <c r="AJ53" i="10"/>
  <c r="AJ58" i="10"/>
  <c r="AJ13" i="10"/>
  <c r="AJ21" i="10"/>
  <c r="AJ25" i="10"/>
  <c r="AJ35" i="10"/>
  <c r="AJ20" i="10"/>
  <c r="AJ37" i="10"/>
  <c r="AJ47" i="10"/>
  <c r="AJ30" i="10"/>
  <c r="AJ57" i="10"/>
  <c r="AJ24" i="10"/>
  <c r="AJ8" i="10"/>
  <c r="AJ32" i="10"/>
  <c r="AJ7" i="10"/>
  <c r="AJ33" i="10"/>
  <c r="AJ19" i="10"/>
  <c r="AJ43" i="10"/>
  <c r="AJ4" i="10"/>
  <c r="AJ34" i="10"/>
  <c r="AJ28" i="10"/>
  <c r="AJ27" i="10"/>
  <c r="AJ17" i="10"/>
  <c r="AJ26" i="10"/>
  <c r="AJ48" i="10"/>
  <c r="AJ5" i="10"/>
  <c r="AJ3" i="10"/>
  <c r="AJ54" i="10"/>
  <c r="AJ29" i="10"/>
  <c r="AJ52" i="10"/>
  <c r="AJ60" i="10"/>
  <c r="AJ31" i="10"/>
  <c r="AJ51" i="10"/>
  <c r="AJ55" i="10"/>
  <c r="AJ10" i="10"/>
  <c r="AJ6" i="10"/>
  <c r="AJ9" i="10"/>
  <c r="AJ44" i="10"/>
  <c r="AJ11" i="10"/>
  <c r="AJ45" i="10"/>
  <c r="AJ56" i="10"/>
  <c r="AF27" i="10"/>
  <c r="V25" i="10"/>
  <c r="V51" i="10"/>
  <c r="V26" i="10"/>
  <c r="V58" i="10"/>
  <c r="V59" i="10"/>
  <c r="V34" i="10"/>
  <c r="V27" i="10"/>
  <c r="V12" i="10"/>
  <c r="V15" i="10"/>
  <c r="V14" i="10"/>
  <c r="V49" i="10"/>
  <c r="V22" i="10"/>
  <c r="V20" i="10"/>
  <c r="V37" i="10"/>
  <c r="V47" i="10"/>
  <c r="V30" i="10"/>
  <c r="V46" i="10"/>
  <c r="V35" i="10"/>
  <c r="V18" i="10"/>
  <c r="V54" i="10"/>
  <c r="V21" i="10"/>
  <c r="V57" i="10"/>
  <c r="V24" i="10"/>
  <c r="V8" i="10"/>
  <c r="V32" i="10"/>
  <c r="V7" i="10"/>
  <c r="V33" i="10"/>
  <c r="V19" i="10"/>
  <c r="V43" i="10"/>
  <c r="V42" i="10"/>
  <c r="V5" i="10"/>
  <c r="V13" i="10"/>
  <c r="V41" i="10"/>
  <c r="V4" i="10"/>
  <c r="V36" i="10"/>
  <c r="V40" i="10"/>
  <c r="V50" i="10"/>
  <c r="V53" i="10"/>
  <c r="V29" i="10"/>
  <c r="V52" i="10"/>
  <c r="V60" i="10"/>
  <c r="V31" i="10"/>
  <c r="V3" i="10"/>
  <c r="V39" i="10"/>
  <c r="V48" i="10"/>
  <c r="V28" i="10"/>
  <c r="V17" i="10"/>
  <c r="V55" i="10"/>
  <c r="V10" i="10"/>
  <c r="V6" i="10"/>
  <c r="V9" i="10"/>
  <c r="V44" i="10"/>
  <c r="V11" i="10"/>
  <c r="V45" i="10"/>
  <c r="AF22" i="10"/>
  <c r="P33" i="10"/>
  <c r="P52" i="10"/>
  <c r="P12" i="10"/>
  <c r="R56" i="10"/>
  <c r="R45" i="10"/>
  <c r="R33" i="10"/>
  <c r="AH9" i="10"/>
  <c r="R6" i="10"/>
  <c r="R24" i="10"/>
  <c r="AH51" i="10"/>
  <c r="AJ49" i="10"/>
  <c r="AJ36" i="10"/>
  <c r="X16" i="10"/>
  <c r="R31" i="10"/>
  <c r="X56" i="10"/>
  <c r="X33" i="10"/>
  <c r="X6" i="10"/>
  <c r="AH49" i="10"/>
  <c r="V23" i="10"/>
  <c r="X29" i="10"/>
  <c r="AB41" i="10"/>
  <c r="AB39" i="10"/>
  <c r="AB42" i="10"/>
  <c r="AB53" i="10"/>
  <c r="AB58" i="10"/>
  <c r="AB12" i="10"/>
  <c r="AB15" i="10"/>
  <c r="AB23" i="10"/>
  <c r="AB59" i="10"/>
  <c r="AB38" i="10"/>
  <c r="AB16" i="10"/>
  <c r="AB18" i="10"/>
  <c r="AB54" i="10"/>
  <c r="AB25" i="10"/>
  <c r="AB35" i="10"/>
  <c r="AB5" i="10"/>
  <c r="AB20" i="10"/>
  <c r="AB37" i="10"/>
  <c r="AB47" i="10"/>
  <c r="AB30" i="10"/>
  <c r="AB46" i="10"/>
  <c r="AB57" i="10"/>
  <c r="AB24" i="10"/>
  <c r="AB8" i="10"/>
  <c r="AB32" i="10"/>
  <c r="AB7" i="10"/>
  <c r="AB33" i="10"/>
  <c r="AB19" i="10"/>
  <c r="AB43" i="10"/>
  <c r="AB27" i="10"/>
  <c r="AB28" i="10"/>
  <c r="AB34" i="10"/>
  <c r="AB17" i="10"/>
  <c r="AB26" i="10"/>
  <c r="AB14" i="10"/>
  <c r="AB49" i="10"/>
  <c r="AB22" i="10"/>
  <c r="AB48" i="10"/>
  <c r="AB3" i="10"/>
  <c r="AB29" i="10"/>
  <c r="AB52" i="10"/>
  <c r="AB60" i="10"/>
  <c r="AB31" i="10"/>
  <c r="AB51" i="10"/>
  <c r="AB55" i="10"/>
  <c r="AB10" i="10"/>
  <c r="AB6" i="10"/>
  <c r="AB9" i="10"/>
  <c r="AB44" i="10"/>
  <c r="AB11" i="10"/>
  <c r="AB45" i="10"/>
  <c r="AB56" i="10"/>
  <c r="AB13" i="10"/>
  <c r="AB21" i="10"/>
  <c r="R59" i="10"/>
  <c r="R58" i="10"/>
  <c r="R5" i="10"/>
  <c r="R13" i="10"/>
  <c r="R48" i="10"/>
  <c r="R28" i="10"/>
  <c r="R17" i="10"/>
  <c r="R53" i="10"/>
  <c r="R29" i="10"/>
  <c r="R52" i="10"/>
  <c r="R41" i="10"/>
  <c r="R4" i="10"/>
  <c r="R36" i="10"/>
  <c r="R3" i="10"/>
  <c r="R39" i="10"/>
  <c r="R38" i="10"/>
  <c r="R16" i="10"/>
  <c r="R23" i="10"/>
  <c r="R34" i="10"/>
  <c r="R27" i="10"/>
  <c r="R54" i="10"/>
  <c r="R21" i="10"/>
  <c r="R26" i="10"/>
  <c r="R20" i="10"/>
  <c r="R37" i="10"/>
  <c r="R47" i="10"/>
  <c r="R12" i="10"/>
  <c r="R15" i="10"/>
  <c r="R14" i="10"/>
  <c r="R35" i="10"/>
  <c r="R25" i="10"/>
  <c r="R42" i="10"/>
  <c r="R18" i="10"/>
  <c r="AD12" i="10"/>
  <c r="AD15" i="10"/>
  <c r="AD23" i="10"/>
  <c r="AD59" i="10"/>
  <c r="AD38" i="10"/>
  <c r="AD16" i="10"/>
  <c r="AD18" i="10"/>
  <c r="AD41" i="10"/>
  <c r="AD39" i="10"/>
  <c r="AD42" i="10"/>
  <c r="AD53" i="10"/>
  <c r="AD58" i="10"/>
  <c r="AD3" i="10"/>
  <c r="AD48" i="10"/>
  <c r="AD28" i="10"/>
  <c r="AD17" i="10"/>
  <c r="AD51" i="10"/>
  <c r="AD55" i="10"/>
  <c r="AD10" i="10"/>
  <c r="AD6" i="10"/>
  <c r="AD9" i="10"/>
  <c r="AD44" i="10"/>
  <c r="AD11" i="10"/>
  <c r="AD45" i="10"/>
  <c r="AD56" i="10"/>
  <c r="AD34" i="10"/>
  <c r="AD27" i="10"/>
  <c r="AD14" i="10"/>
  <c r="AD49" i="10"/>
  <c r="AD22" i="10"/>
  <c r="AD26" i="10"/>
  <c r="AD20" i="10"/>
  <c r="AD37" i="10"/>
  <c r="AD47" i="10"/>
  <c r="AD30" i="10"/>
  <c r="AD46" i="10"/>
  <c r="AD25" i="10"/>
  <c r="AD35" i="10"/>
  <c r="AD54" i="10"/>
  <c r="AD21" i="10"/>
  <c r="AD57" i="10"/>
  <c r="AD24" i="10"/>
  <c r="AD8" i="10"/>
  <c r="AD32" i="10"/>
  <c r="AD7" i="10"/>
  <c r="AD33" i="10"/>
  <c r="AD19" i="10"/>
  <c r="AD43" i="10"/>
  <c r="AD5" i="10"/>
  <c r="AD13" i="10"/>
  <c r="AD4" i="10"/>
  <c r="AD36" i="10"/>
  <c r="AD40" i="10"/>
  <c r="AD50" i="10"/>
  <c r="AD29" i="10"/>
  <c r="AD52" i="10"/>
  <c r="AD60" i="10"/>
  <c r="AD31" i="10"/>
  <c r="Z17" i="10"/>
  <c r="P23" i="10"/>
  <c r="P32" i="10"/>
  <c r="P53" i="10"/>
  <c r="P21" i="10"/>
  <c r="AH43" i="10"/>
  <c r="R19" i="10"/>
  <c r="AH44" i="10"/>
  <c r="R9" i="10"/>
  <c r="R8" i="10"/>
  <c r="AH55" i="10"/>
  <c r="AJ22" i="10"/>
  <c r="AJ40" i="10"/>
  <c r="AB36" i="10"/>
  <c r="X42" i="10"/>
  <c r="R30" i="10"/>
  <c r="X43" i="10"/>
  <c r="X44" i="10"/>
  <c r="X10" i="10"/>
  <c r="AH22" i="10"/>
  <c r="R49" i="10"/>
  <c r="V16" i="10"/>
  <c r="V56" i="10"/>
  <c r="AF43" i="10"/>
  <c r="AF31" i="10"/>
  <c r="AF14" i="10"/>
  <c r="P16" i="10"/>
  <c r="P35" i="10"/>
  <c r="P45" i="10"/>
  <c r="P44" i="10"/>
  <c r="P6" i="10"/>
  <c r="P55" i="10"/>
  <c r="P30" i="10"/>
  <c r="P37" i="10"/>
  <c r="P25" i="10"/>
  <c r="P50" i="10"/>
  <c r="P36" i="10"/>
  <c r="P41" i="10"/>
  <c r="P28" i="10"/>
  <c r="P59" i="10"/>
  <c r="P58" i="10"/>
  <c r="AF33" i="10"/>
  <c r="AF52" i="10"/>
  <c r="AF21" i="10"/>
  <c r="P42" i="10"/>
  <c r="P3" i="10"/>
  <c r="P19" i="10"/>
  <c r="P7" i="10"/>
  <c r="P8" i="10"/>
  <c r="P57" i="10"/>
  <c r="P60" i="10"/>
  <c r="P29" i="10"/>
  <c r="P18" i="10"/>
  <c r="P49" i="10"/>
  <c r="P15" i="10"/>
  <c r="P26" i="10"/>
  <c r="P54" i="10"/>
  <c r="P34" i="10"/>
  <c r="Z40" i="10"/>
  <c r="Z31" i="10"/>
  <c r="AF32" i="10"/>
  <c r="AF26" i="10"/>
  <c r="P38" i="10"/>
  <c r="P56" i="10"/>
  <c r="P11" i="10"/>
  <c r="P9" i="10"/>
  <c r="P10" i="10"/>
  <c r="P46" i="10"/>
  <c r="P47" i="10"/>
  <c r="P20" i="10"/>
  <c r="P51" i="10"/>
  <c r="P40" i="10"/>
  <c r="P4" i="10"/>
  <c r="P17" i="10"/>
  <c r="P48" i="10"/>
  <c r="P5" i="10"/>
  <c r="AF12" i="10"/>
  <c r="AF16" i="10"/>
  <c r="AF18" i="10"/>
  <c r="AF38" i="10"/>
  <c r="AF42" i="10"/>
  <c r="AF46" i="10"/>
  <c r="AF53" i="10"/>
  <c r="AF59" i="10"/>
  <c r="AF23" i="10"/>
  <c r="AF15" i="10"/>
  <c r="AF39" i="10"/>
  <c r="AF41" i="10"/>
  <c r="AF58" i="10"/>
  <c r="Z44" i="10"/>
  <c r="Z48" i="10"/>
  <c r="AF44" i="10"/>
  <c r="AF55" i="10"/>
  <c r="AF37" i="10"/>
  <c r="AF50" i="10"/>
  <c r="AF13" i="10"/>
  <c r="Z6" i="10"/>
  <c r="Z26" i="10"/>
  <c r="Z5" i="10"/>
  <c r="AF19" i="10"/>
  <c r="AF7" i="10"/>
  <c r="AF8" i="10"/>
  <c r="AF57" i="10"/>
  <c r="AF60" i="10"/>
  <c r="AF29" i="10"/>
  <c r="AF3" i="10"/>
  <c r="AF49" i="10"/>
  <c r="AF4" i="10"/>
  <c r="AF54" i="10"/>
  <c r="AF34" i="10"/>
  <c r="Z52" i="10"/>
  <c r="AF45" i="10"/>
  <c r="AF6" i="10"/>
  <c r="AF30" i="10"/>
  <c r="AF5" i="10"/>
  <c r="AF36" i="10"/>
  <c r="AF28" i="10"/>
  <c r="T47" i="10"/>
  <c r="Z55" i="10"/>
  <c r="AF56" i="10"/>
  <c r="AF11" i="10"/>
  <c r="AF9" i="10"/>
  <c r="AF10" i="10"/>
  <c r="AF51" i="10"/>
  <c r="AF47" i="10"/>
  <c r="AF20" i="10"/>
  <c r="AF25" i="10"/>
  <c r="AF40" i="10"/>
  <c r="AF17" i="10"/>
  <c r="AF48" i="10"/>
  <c r="AF35" i="10"/>
  <c r="Z12" i="10"/>
  <c r="Z16" i="10"/>
  <c r="Z18" i="10"/>
  <c r="Z38" i="10"/>
  <c r="Z42" i="10"/>
  <c r="Z53" i="10"/>
  <c r="Z59" i="10"/>
  <c r="Z23" i="10"/>
  <c r="Z39" i="10"/>
  <c r="Z41" i="10"/>
  <c r="Z58" i="10"/>
  <c r="Z15" i="10"/>
  <c r="T3" i="10"/>
  <c r="Z19" i="10"/>
  <c r="Z7" i="10"/>
  <c r="Z8" i="10"/>
  <c r="Z57" i="10"/>
  <c r="Z30" i="10"/>
  <c r="Z37" i="10"/>
  <c r="Z22" i="10"/>
  <c r="Z14" i="10"/>
  <c r="Z21" i="10"/>
  <c r="Z27" i="10"/>
  <c r="Z35" i="10"/>
  <c r="Z56" i="10"/>
  <c r="Z11" i="10"/>
  <c r="Z9" i="10"/>
  <c r="Z10" i="10"/>
  <c r="Z51" i="10"/>
  <c r="Z60" i="10"/>
  <c r="Z29" i="10"/>
  <c r="Z50" i="10"/>
  <c r="Z36" i="10"/>
  <c r="Z28" i="10"/>
  <c r="Z13" i="10"/>
  <c r="Z3" i="10"/>
  <c r="Z43" i="10"/>
  <c r="Z33" i="10"/>
  <c r="Z32" i="10"/>
  <c r="Z24" i="10"/>
  <c r="Z46" i="10"/>
  <c r="Z47" i="10"/>
  <c r="Z20" i="10"/>
  <c r="Z49" i="10"/>
  <c r="Z4" i="10"/>
  <c r="Z54" i="10"/>
  <c r="Z34" i="10"/>
  <c r="Z25" i="10"/>
  <c r="T50" i="10"/>
  <c r="T41" i="10"/>
  <c r="T54" i="10"/>
  <c r="T44" i="10"/>
  <c r="T43" i="10"/>
  <c r="T42" i="10"/>
  <c r="T24" i="10"/>
  <c r="T49" i="10"/>
  <c r="T15" i="10"/>
  <c r="T17" i="10"/>
  <c r="T48" i="10"/>
  <c r="T5" i="10"/>
  <c r="T32" i="10"/>
  <c r="T37" i="10"/>
  <c r="T19" i="10"/>
  <c r="T6" i="10"/>
  <c r="T60" i="10"/>
  <c r="T38" i="10"/>
  <c r="T56" i="10"/>
  <c r="T36" i="10"/>
  <c r="T34" i="10"/>
  <c r="T52" i="10"/>
  <c r="T9" i="10"/>
  <c r="T30" i="10"/>
  <c r="T51" i="10"/>
  <c r="T25" i="10"/>
  <c r="T59" i="10"/>
  <c r="T26" i="10"/>
  <c r="T58" i="10"/>
  <c r="T40" i="10"/>
  <c r="T4" i="10"/>
  <c r="T21" i="10"/>
  <c r="T27" i="10"/>
  <c r="T45" i="10"/>
  <c r="T55" i="10"/>
  <c r="T29" i="10"/>
  <c r="T11" i="10"/>
  <c r="T57" i="10"/>
  <c r="T23" i="10"/>
  <c r="T39" i="10"/>
  <c r="T8" i="10"/>
  <c r="T20" i="10"/>
  <c r="N28" i="10"/>
  <c r="T22" i="10"/>
  <c r="T14" i="10"/>
  <c r="T12" i="10"/>
  <c r="T28" i="10"/>
  <c r="T13" i="10"/>
  <c r="T33" i="10"/>
  <c r="T46" i="10"/>
  <c r="T18" i="10"/>
  <c r="T7" i="10"/>
  <c r="T31" i="10"/>
  <c r="T16" i="10"/>
  <c r="T35" i="10"/>
  <c r="T10" i="10"/>
  <c r="T53" i="10"/>
  <c r="N18" i="10"/>
  <c r="N25" i="10"/>
  <c r="N41" i="10"/>
  <c r="N48" i="10"/>
  <c r="N42" i="10"/>
  <c r="N15" i="10"/>
  <c r="N43" i="10"/>
  <c r="N33" i="10"/>
  <c r="N32" i="10"/>
  <c r="N24" i="10"/>
  <c r="N31" i="10"/>
  <c r="N52" i="10"/>
  <c r="N53" i="10"/>
  <c r="N17" i="10"/>
  <c r="N39" i="10"/>
  <c r="N22" i="10"/>
  <c r="N26" i="10"/>
  <c r="N13" i="10"/>
  <c r="N38" i="10"/>
  <c r="N4" i="10"/>
  <c r="N45" i="10"/>
  <c r="N44" i="10"/>
  <c r="N6" i="10"/>
  <c r="N55" i="10"/>
  <c r="N30" i="10"/>
  <c r="N37" i="10"/>
  <c r="AK37" i="10" s="1"/>
  <c r="AM37" i="10" s="1"/>
  <c r="N51" i="10"/>
  <c r="N59" i="10"/>
  <c r="N58" i="10"/>
  <c r="N35" i="10"/>
  <c r="N40" i="10"/>
  <c r="N21" i="10"/>
  <c r="N23" i="10"/>
  <c r="N49" i="10"/>
  <c r="N27" i="10"/>
  <c r="N19" i="10"/>
  <c r="N7" i="10"/>
  <c r="N8" i="10"/>
  <c r="N57" i="10"/>
  <c r="N60" i="10"/>
  <c r="N29" i="10"/>
  <c r="N50" i="10"/>
  <c r="N34" i="10"/>
  <c r="N3" i="10"/>
  <c r="N12" i="10"/>
  <c r="N54" i="10"/>
  <c r="N16" i="10"/>
  <c r="N14" i="10"/>
  <c r="N56" i="10"/>
  <c r="N11" i="10"/>
  <c r="N9" i="10"/>
  <c r="N10" i="10"/>
  <c r="N46" i="10"/>
  <c r="N47" i="10"/>
  <c r="AK47" i="10" s="1"/>
  <c r="AM47" i="10" s="1"/>
  <c r="N20" i="10"/>
  <c r="N36" i="10"/>
  <c r="N5" i="10"/>
  <c r="AC65" i="10"/>
  <c r="Q65" i="10"/>
  <c r="AA65" i="10"/>
  <c r="AG65" i="10"/>
  <c r="AK59" i="10"/>
  <c r="AM59" i="10" s="1"/>
  <c r="O65" i="10"/>
  <c r="W65" i="10"/>
  <c r="U65" i="10"/>
  <c r="Y65" i="10"/>
  <c r="M65" i="10"/>
  <c r="AI65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K12" i="10" l="1"/>
  <c r="AM12" i="10" s="1"/>
  <c r="AK45" i="10"/>
  <c r="AM45" i="10" s="1"/>
  <c r="AK42" i="10"/>
  <c r="AM42" i="10" s="1"/>
  <c r="AL17" i="10"/>
  <c r="AL20" i="10"/>
  <c r="AL34" i="10"/>
  <c r="AL49" i="10"/>
  <c r="AL57" i="10"/>
  <c r="AL3" i="10"/>
  <c r="AL41" i="10"/>
  <c r="AL37" i="10"/>
  <c r="AL44" i="10"/>
  <c r="AL12" i="10"/>
  <c r="AK32" i="10"/>
  <c r="AM32" i="10" s="1"/>
  <c r="AK33" i="10"/>
  <c r="AM33" i="10" s="1"/>
  <c r="AL30" i="10"/>
  <c r="AL27" i="10"/>
  <c r="AL4" i="10"/>
  <c r="AL52" i="10"/>
  <c r="AL43" i="10"/>
  <c r="AL22" i="10"/>
  <c r="AL31" i="10"/>
  <c r="AK46" i="10"/>
  <c r="AM46" i="10" s="1"/>
  <c r="AK58" i="10"/>
  <c r="AM58" i="10" s="1"/>
  <c r="AL47" i="10"/>
  <c r="AL54" i="10"/>
  <c r="AL8" i="10"/>
  <c r="AL42" i="10"/>
  <c r="AL36" i="10"/>
  <c r="AL21" i="10"/>
  <c r="AK14" i="10"/>
  <c r="AM14" i="10" s="1"/>
  <c r="AK60" i="10"/>
  <c r="AM60" i="10" s="1"/>
  <c r="AK19" i="10"/>
  <c r="AM19" i="10" s="1"/>
  <c r="AK4" i="10"/>
  <c r="AM4" i="10" s="1"/>
  <c r="AL5" i="10"/>
  <c r="AL40" i="10"/>
  <c r="AL46" i="10"/>
  <c r="AL56" i="10"/>
  <c r="AL26" i="10"/>
  <c r="AL29" i="10"/>
  <c r="AL7" i="10"/>
  <c r="AL59" i="10"/>
  <c r="AL50" i="10"/>
  <c r="AL55" i="10"/>
  <c r="AL35" i="10"/>
  <c r="AL53" i="10"/>
  <c r="AL33" i="10"/>
  <c r="AL13" i="10"/>
  <c r="AL24" i="10"/>
  <c r="AL9" i="10"/>
  <c r="AL23" i="10"/>
  <c r="AK56" i="10"/>
  <c r="AM56" i="10" s="1"/>
  <c r="AL11" i="10"/>
  <c r="AL18" i="10"/>
  <c r="AL58" i="10"/>
  <c r="AL45" i="10"/>
  <c r="AK9" i="10"/>
  <c r="AM9" i="10" s="1"/>
  <c r="AK34" i="10"/>
  <c r="AK6" i="10"/>
  <c r="AM6" i="10" s="1"/>
  <c r="AL48" i="10"/>
  <c r="AL51" i="10"/>
  <c r="AL10" i="10"/>
  <c r="AL38" i="10"/>
  <c r="AL15" i="10"/>
  <c r="AL60" i="10"/>
  <c r="AL19" i="10"/>
  <c r="AL28" i="10"/>
  <c r="AL25" i="10"/>
  <c r="AL6" i="10"/>
  <c r="AL16" i="10"/>
  <c r="AL32" i="10"/>
  <c r="AL14" i="10"/>
  <c r="AL39" i="10"/>
  <c r="AK53" i="10"/>
  <c r="AM53" i="10" s="1"/>
  <c r="AK18" i="10"/>
  <c r="AM18" i="10" s="1"/>
  <c r="AK17" i="10"/>
  <c r="AM17" i="10" s="1"/>
  <c r="AK28" i="10"/>
  <c r="AM28" i="10" s="1"/>
  <c r="AK55" i="10"/>
  <c r="AM55" i="10" s="1"/>
  <c r="AK52" i="10"/>
  <c r="AM52" i="10" s="1"/>
  <c r="AK48" i="10"/>
  <c r="AM48" i="10" s="1"/>
  <c r="AK20" i="10"/>
  <c r="AM20" i="10" s="1"/>
  <c r="AM34" i="10"/>
  <c r="AK57" i="10"/>
  <c r="AM57" i="10" s="1"/>
  <c r="AK40" i="10"/>
  <c r="AM40" i="10" s="1"/>
  <c r="AK51" i="10"/>
  <c r="AM51" i="10" s="1"/>
  <c r="AK39" i="10"/>
  <c r="AM39" i="10" s="1"/>
  <c r="AK31" i="10"/>
  <c r="AM31" i="10" s="1"/>
  <c r="AK41" i="10"/>
  <c r="AM41" i="10" s="1"/>
  <c r="AK10" i="10"/>
  <c r="AM10" i="10" s="1"/>
  <c r="AK7" i="10"/>
  <c r="AM7" i="10" s="1"/>
  <c r="AK13" i="10"/>
  <c r="AM13" i="10" s="1"/>
  <c r="AK22" i="10"/>
  <c r="AM22" i="10" s="1"/>
  <c r="AK29" i="10"/>
  <c r="AM29" i="10" s="1"/>
  <c r="AK21" i="10"/>
  <c r="AM21" i="10" s="1"/>
  <c r="AK26" i="10"/>
  <c r="AM26" i="10" s="1"/>
  <c r="AK30" i="10"/>
  <c r="AM30" i="10" s="1"/>
  <c r="AK36" i="10"/>
  <c r="AM36" i="10" s="1"/>
  <c r="AK44" i="10"/>
  <c r="AM44" i="10" s="1"/>
  <c r="AK25" i="10"/>
  <c r="AM25" i="10" s="1"/>
  <c r="AK3" i="10"/>
  <c r="AM3" i="10" s="1"/>
  <c r="AK15" i="10"/>
  <c r="AM15" i="10" s="1"/>
  <c r="AK23" i="10"/>
  <c r="AM23" i="10" s="1"/>
  <c r="AK16" i="10"/>
  <c r="AM16" i="10" s="1"/>
  <c r="AK27" i="10"/>
  <c r="AM27" i="10" s="1"/>
  <c r="AK38" i="10"/>
  <c r="AM38" i="10" s="1"/>
  <c r="AK43" i="10"/>
  <c r="AM43" i="10" s="1"/>
  <c r="AK11" i="10"/>
  <c r="AM11" i="10" s="1"/>
  <c r="AK54" i="10"/>
  <c r="AM54" i="10" s="1"/>
  <c r="AK50" i="10"/>
  <c r="AM50" i="10" s="1"/>
  <c r="AK8" i="10"/>
  <c r="AM8" i="10" s="1"/>
  <c r="AK35" i="10"/>
  <c r="AM35" i="10" s="1"/>
  <c r="AK24" i="10"/>
  <c r="AM24" i="10" s="1"/>
  <c r="AK49" i="10"/>
  <c r="AM49" i="10" s="1"/>
  <c r="AK5" i="10"/>
  <c r="AM5" i="10" s="1"/>
  <c r="G60" i="6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C56" i="10" l="1"/>
  <c r="V60" i="3" s="1"/>
  <c r="C43" i="10"/>
  <c r="V59" i="3" s="1"/>
  <c r="C55" i="10"/>
  <c r="V46" i="3" s="1"/>
  <c r="C54" i="10"/>
  <c r="V12" i="3" s="1"/>
  <c r="C3" i="10"/>
  <c r="V4" i="3" s="1"/>
  <c r="C30" i="10"/>
  <c r="V25" i="3" s="1"/>
  <c r="C18" i="10"/>
  <c r="V18" i="3" s="1"/>
  <c r="C51" i="10"/>
  <c r="V44" i="3" s="1"/>
  <c r="C11" i="10"/>
  <c r="V56" i="3" s="1"/>
  <c r="C12" i="10"/>
  <c r="V31" i="3" s="1"/>
  <c r="C31" i="10"/>
  <c r="V26" i="3" s="1"/>
  <c r="C6" i="10"/>
  <c r="V50" i="3" s="1"/>
  <c r="C45" i="10"/>
  <c r="V58" i="3" s="1"/>
  <c r="C24" i="10"/>
  <c r="V47" i="3" s="1"/>
  <c r="C34" i="10"/>
  <c r="V8" i="3" s="1"/>
  <c r="C28" i="10"/>
  <c r="V13" i="3" s="1"/>
  <c r="C46" i="10"/>
  <c r="V27" i="3" s="1"/>
  <c r="C32" i="10"/>
  <c r="V51" i="3" s="1"/>
  <c r="C25" i="10"/>
  <c r="V3" i="3" s="1"/>
  <c r="C13" i="10"/>
  <c r="V9" i="3" s="1"/>
  <c r="C27" i="10"/>
  <c r="V10" i="3" s="1"/>
  <c r="C26" i="10"/>
  <c r="V16" i="3" s="1"/>
  <c r="C57" i="10"/>
  <c r="V45" i="3" s="1"/>
  <c r="C36" i="10"/>
  <c r="V38" i="3" s="1"/>
  <c r="C14" i="10"/>
  <c r="V39" i="3" s="1"/>
  <c r="C39" i="10"/>
  <c r="V6" i="3" s="1"/>
  <c r="C9" i="10"/>
  <c r="V52" i="3" s="1"/>
  <c r="C41" i="10"/>
  <c r="V29" i="3" s="1"/>
  <c r="C37" i="10"/>
  <c r="V21" i="3" s="1"/>
  <c r="C23" i="10"/>
  <c r="V37" i="3" s="1"/>
  <c r="C58" i="10"/>
  <c r="V36" i="3" s="1"/>
  <c r="C7" i="10"/>
  <c r="V53" i="3" s="1"/>
  <c r="C60" i="10"/>
  <c r="V24" i="3" s="1"/>
  <c r="C15" i="10"/>
  <c r="V34" i="3" s="1"/>
  <c r="C29" i="10"/>
  <c r="V20" i="3" s="1"/>
  <c r="C8" i="10"/>
  <c r="V49" i="3" s="1"/>
  <c r="C19" i="10"/>
  <c r="V57" i="3" s="1"/>
  <c r="C44" i="10"/>
  <c r="V54" i="3" s="1"/>
  <c r="C49" i="10"/>
  <c r="V41" i="3" s="1"/>
  <c r="C40" i="10"/>
  <c r="V40" i="3" s="1"/>
  <c r="C59" i="10"/>
  <c r="V35" i="3" s="1"/>
  <c r="C50" i="10"/>
  <c r="V42" i="3" s="1"/>
  <c r="C53" i="10"/>
  <c r="V17" i="3" s="1"/>
  <c r="C33" i="10"/>
  <c r="V55" i="3" s="1"/>
  <c r="C52" i="10"/>
  <c r="V22" i="3" s="1"/>
  <c r="C35" i="10"/>
  <c r="V5" i="3" s="1"/>
  <c r="C16" i="10"/>
  <c r="V32" i="3" s="1"/>
  <c r="C42" i="10"/>
  <c r="V30" i="3" s="1"/>
  <c r="C5" i="10"/>
  <c r="V7" i="3" s="1"/>
  <c r="C21" i="10"/>
  <c r="V14" i="3" s="1"/>
  <c r="C47" i="10"/>
  <c r="V23" i="3" s="1"/>
  <c r="C22" i="10"/>
  <c r="V43" i="3" s="1"/>
  <c r="C48" i="10"/>
  <c r="V11" i="3" s="1"/>
  <c r="C20" i="10"/>
  <c r="V19" i="3" s="1"/>
  <c r="C10" i="10"/>
  <c r="V48" i="3" s="1"/>
  <c r="C4" i="10"/>
  <c r="V33" i="3" s="1"/>
  <c r="C38" i="10"/>
  <c r="V28" i="3" s="1"/>
  <c r="C17" i="10"/>
  <c r="V15" i="3" s="1"/>
  <c r="R60" i="3"/>
  <c r="S59" i="3" l="1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Q37" i="3"/>
  <c r="S37" i="3" s="1"/>
  <c r="R35" i="3"/>
  <c r="S35" i="3" s="1"/>
  <c r="S34" i="3"/>
  <c r="S33" i="3"/>
  <c r="R32" i="3"/>
  <c r="R36" i="3" s="1"/>
  <c r="S36" i="3" s="1"/>
  <c r="S31" i="3"/>
  <c r="R30" i="3"/>
  <c r="S30" i="3" s="1"/>
  <c r="S29" i="3"/>
  <c r="R28" i="3"/>
  <c r="S28" i="3" s="1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6" i="3"/>
  <c r="S6" i="3" s="1"/>
  <c r="S5" i="3"/>
  <c r="S4" i="3"/>
  <c r="S3" i="3"/>
  <c r="S32" i="3" l="1"/>
  <c r="A6" i="10"/>
  <c r="A4" i="10"/>
  <c r="A7" i="10" l="1"/>
  <c r="A8" i="10" s="1"/>
  <c r="A36" i="10" s="1"/>
  <c r="A9" i="10" s="1"/>
  <c r="A37" i="10" s="1"/>
  <c r="A10" i="10" s="1"/>
  <c r="A11" i="10" s="1"/>
  <c r="A12" i="10" s="1"/>
  <c r="A38" i="10" s="1"/>
  <c r="A14" i="10"/>
  <c r="A40" i="10" s="1"/>
  <c r="A41" i="10" s="1"/>
  <c r="A42" i="10" s="1"/>
  <c r="A15" i="10" s="1"/>
  <c r="A16" i="10" s="1"/>
  <c r="A43" i="10" s="1"/>
  <c r="A17" i="10" s="1"/>
  <c r="A44" i="10" s="1"/>
  <c r="A18" i="10" s="1"/>
  <c r="A45" i="10" s="1"/>
  <c r="A19" i="10" s="1"/>
  <c r="A20" i="10" s="1"/>
  <c r="A46" i="10" s="1"/>
  <c r="A47" i="10" s="1"/>
  <c r="A48" i="10" s="1"/>
  <c r="A21" i="10" s="1"/>
  <c r="A49" i="10" s="1"/>
  <c r="A50" i="10" s="1"/>
  <c r="A22" i="10" s="1"/>
  <c r="A23" i="10" s="1"/>
  <c r="A51" i="10" s="1"/>
  <c r="A52" i="10" s="1"/>
  <c r="A53" i="10" s="1"/>
  <c r="A54" i="10" s="1"/>
  <c r="A24" i="10" s="1"/>
  <c r="A55" i="10" s="1"/>
  <c r="A56" i="10" s="1"/>
  <c r="A26" i="10"/>
  <c r="A57" i="10" l="1"/>
  <c r="A58" i="10" s="1"/>
  <c r="A59" i="10" s="1"/>
  <c r="A27" i="10" s="1"/>
  <c r="A60" i="10" s="1"/>
  <c r="A28" i="10" s="1"/>
  <c r="A29" i="10" s="1"/>
  <c r="A30" i="10" s="1"/>
  <c r="A31" i="10" s="1"/>
  <c r="A32" i="10" s="1"/>
  <c r="A33" i="10" s="1"/>
</calcChain>
</file>

<file path=xl/sharedStrings.xml><?xml version="1.0" encoding="utf-8"?>
<sst xmlns="http://schemas.openxmlformats.org/spreadsheetml/2006/main" count="2068" uniqueCount="669">
  <si>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</si>
  <si>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</si>
  <si>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</si>
  <si>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</si>
  <si>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</si>
  <si>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</si>
  <si>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</si>
  <si>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</si>
  <si>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</si>
  <si>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</si>
  <si>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</si>
  <si>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</si>
  <si>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</si>
  <si>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</si>
  <si>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</si>
  <si>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</si>
  <si>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</si>
  <si>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</si>
  <si>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</si>
  <si>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</si>
  <si>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</si>
  <si>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</si>
  <si>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</si>
  <si>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</si>
  <si>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</si>
  <si>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</si>
  <si>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</si>
  <si>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</si>
  <si>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</si>
  <si>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</si>
  <si>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</si>
  <si>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</si>
  <si>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</si>
  <si>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</si>
  <si>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</si>
  <si>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</si>
  <si>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</si>
  <si>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</si>
  <si>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</si>
  <si>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</si>
  <si>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</si>
  <si>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</si>
  <si>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</si>
  <si>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</si>
  <si>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</si>
  <si>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</si>
  <si>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</si>
  <si>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</si>
  <si>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</si>
  <si>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</si>
  <si>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</si>
  <si>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</si>
  <si>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</si>
  <si>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</si>
  <si>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</si>
  <si>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</si>
  <si>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</si>
  <si>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</si>
  <si>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</si>
  <si>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</si>
  <si>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</si>
  <si>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</si>
  <si>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</si>
  <si>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</si>
  <si>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</si>
  <si>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</si>
  <si>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</si>
  <si>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</si>
  <si>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</si>
  <si>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</si>
  <si>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</si>
  <si>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</si>
  <si>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</si>
  <si>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</si>
  <si>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</si>
  <si>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</si>
  <si>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</si>
  <si>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</si>
  <si>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</si>
  <si>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</si>
  <si>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</si>
  <si>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</si>
  <si>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</si>
  <si>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</si>
  <si>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</si>
  <si>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</si>
  <si>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</si>
  <si>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</si>
  <si>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</si>
  <si>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</si>
  <si>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</si>
  <si>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</si>
  <si>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</si>
  <si>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</si>
  <si>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</si>
  <si>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</si>
  <si>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</si>
  <si>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</si>
  <si>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</si>
  <si>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</si>
  <si>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</si>
  <si>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</si>
  <si>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</si>
  <si>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</si>
  <si>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</si>
  <si>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</si>
  <si>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</si>
  <si>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</si>
  <si>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</si>
  <si>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</si>
  <si>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</si>
  <si>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</si>
  <si>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</si>
  <si>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</si>
  <si>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</si>
  <si>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</si>
  <si>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</si>
  <si>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</si>
  <si>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</si>
  <si>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</si>
  <si>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</si>
  <si>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</si>
  <si>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</si>
  <si>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</si>
  <si>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</si>
  <si>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</si>
  <si>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</si>
  <si>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</si>
  <si>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</si>
  <si>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</si>
  <si>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</si>
  <si>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</si>
  <si>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</si>
  <si>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</si>
  <si>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</si>
  <si>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</si>
  <si>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</si>
  <si>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</si>
  <si>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</si>
  <si>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</si>
  <si>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</si>
  <si>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</si>
  <si>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</si>
  <si>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</si>
  <si>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</si>
  <si>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</si>
  <si>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</si>
  <si>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</si>
  <si>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</si>
  <si>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</si>
  <si>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</si>
  <si>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</si>
  <si>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</si>
  <si>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</si>
  <si>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</si>
  <si>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</si>
  <si>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</si>
  <si>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</si>
  <si>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</si>
  <si>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</si>
  <si>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</si>
  <si>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</si>
  <si>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</si>
  <si>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</si>
  <si>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</si>
  <si>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</si>
  <si>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</si>
  <si>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</si>
  <si>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</si>
  <si>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</si>
  <si>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</si>
  <si>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</si>
  <si>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</si>
  <si>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</si>
  <si>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</si>
  <si>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</si>
  <si>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</si>
  <si>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</si>
  <si>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</si>
  <si>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</si>
  <si>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</si>
  <si>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</si>
  <si>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</si>
  <si>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</si>
  <si>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</si>
  <si>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</si>
  <si>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</si>
  <si>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</si>
  <si>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</si>
  <si>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</si>
  <si>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</si>
  <si>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</si>
  <si>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</si>
  <si>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</si>
  <si>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</si>
  <si>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</si>
  <si>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</si>
  <si>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</si>
  <si>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</si>
  <si>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</si>
  <si>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Basic Details</t>
  </si>
  <si>
    <t>Decision</t>
  </si>
  <si>
    <t>Early Deadline</t>
  </si>
  <si>
    <t>Final Deadline</t>
  </si>
  <si>
    <t>Financial Aid Available for Foreign Students</t>
  </si>
  <si>
    <t>Financials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</si>
  <si>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</si>
  <si>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</si>
  <si>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</si>
  <si>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</si>
  <si>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</si>
  <si>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</si>
  <si>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</si>
  <si>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</si>
  <si>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</si>
  <si>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</si>
  <si>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</si>
  <si>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321/155/166/3.7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</si>
  <si>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</si>
  <si>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</si>
  <si>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</si>
  <si>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</si>
  <si>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</si>
  <si>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</si>
  <si>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</si>
  <si>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</si>
  <si>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</si>
  <si>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</si>
  <si>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</si>
  <si>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</si>
  <si>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</si>
  <si>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</si>
  <si>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</si>
  <si>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</si>
  <si>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Intake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</si>
  <si>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</si>
  <si>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</si>
  <si>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</si>
  <si>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</si>
  <si>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</si>
  <si>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</si>
  <si>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</si>
  <si>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</si>
  <si>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</si>
  <si>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</si>
  <si>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</si>
  <si>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</si>
  <si>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</si>
  <si>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</si>
  <si>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</si>
  <si>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</si>
  <si>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</si>
  <si>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</si>
  <si>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</si>
  <si>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</si>
  <si>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</si>
  <si>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</si>
  <si>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</si>
  <si>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</si>
  <si>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</si>
  <si>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</si>
  <si>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</si>
  <si>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</si>
  <si>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</si>
  <si>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</si>
  <si>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</si>
  <si>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</si>
  <si>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$75 + $50</t>
  </si>
  <si>
    <t>$125 + $75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</si>
  <si>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</si>
  <si>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</si>
  <si>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</si>
  <si>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</si>
  <si>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</si>
  <si>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</si>
  <si>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</si>
  <si>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</si>
  <si>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</si>
  <si>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</si>
  <si>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</si>
  <si>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</si>
  <si>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</si>
  <si>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</si>
  <si>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</si>
  <si>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</si>
  <si>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</si>
  <si>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</si>
  <si>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</si>
  <si>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</si>
  <si>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</si>
  <si>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</si>
  <si>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</si>
  <si>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</si>
  <si>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</si>
  <si>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</si>
  <si>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</si>
  <si>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</si>
  <si>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</si>
  <si>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</si>
  <si>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</si>
  <si>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</si>
  <si>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</si>
  <si>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</si>
  <si>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</si>
  <si>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</si>
  <si>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</si>
  <si>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</si>
  <si>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</si>
  <si>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</si>
  <si>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</si>
  <si>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</si>
  <si>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</si>
  <si>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</si>
  <si>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</si>
  <si>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</si>
  <si>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</si>
  <si>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</si>
  <si>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</si>
  <si>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</si>
  <si>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</si>
  <si>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</si>
  <si>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</si>
  <si>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</si>
  <si>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</si>
  <si>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</si>
  <si>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</si>
  <si>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</si>
  <si>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</si>
  <si>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</si>
  <si>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</si>
  <si>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</si>
  <si>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</si>
  <si>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</si>
  <si>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</si>
  <si>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</si>
  <si>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</si>
  <si>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</si>
  <si>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</si>
  <si>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Details suggest very difficult for people with no formal background</t>
  </si>
  <si>
    <t>11-Apr-18(PT)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</si>
  <si>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</si>
  <si>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</si>
  <si>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</si>
  <si>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</si>
  <si>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</si>
  <si>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</si>
  <si>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</si>
  <si>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</si>
  <si>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</si>
  <si>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</si>
  <si>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</si>
  <si>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</si>
  <si>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</si>
  <si>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</si>
  <si>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</si>
  <si>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</si>
  <si>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</si>
  <si>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</si>
  <si>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</si>
  <si>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</si>
  <si>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</si>
  <si>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</si>
  <si>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</si>
  <si>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</si>
  <si>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</si>
  <si>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</si>
  <si>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</si>
  <si>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</si>
  <si>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</si>
  <si>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</si>
  <si>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</si>
  <si>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</si>
  <si>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</si>
  <si>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</si>
  <si>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</si>
  <si>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</si>
  <si>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Requires course-by-course WES Evaluation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</si>
  <si>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</si>
  <si>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</si>
  <si>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</si>
  <si>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</si>
  <si>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</si>
  <si>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</si>
  <si>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</si>
  <si>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</si>
  <si>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</si>
  <si>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</si>
  <si>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</si>
  <si>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</si>
  <si>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</si>
  <si>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</si>
  <si>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</si>
  <si>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</si>
  <si>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</si>
  <si>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</si>
  <si>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</si>
  <si>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</si>
  <si>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</si>
  <si>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</si>
  <si>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</si>
  <si>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</si>
  <si>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</si>
  <si>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</si>
  <si>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</si>
  <si>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</si>
  <si>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</si>
  <si>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</si>
  <si>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</si>
  <si>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</si>
  <si>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</si>
  <si>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</si>
  <si>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</si>
  <si>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</si>
  <si>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</si>
  <si>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</si>
  <si>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</si>
  <si>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</si>
  <si>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</si>
  <si>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</si>
  <si>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</si>
  <si>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</si>
  <si>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</si>
  <si>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</si>
  <si>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</si>
  <si>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</si>
  <si>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</si>
  <si>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</si>
  <si>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</si>
  <si>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</si>
  <si>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</si>
  <si>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</si>
  <si>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</si>
  <si>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</si>
  <si>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</si>
  <si>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</si>
  <si>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</si>
  <si>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</si>
  <si>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</si>
  <si>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</si>
  <si>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</si>
  <si>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</si>
  <si>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</si>
  <si>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</si>
  <si>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</si>
  <si>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</si>
  <si>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</si>
  <si>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</si>
  <si>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</si>
  <si>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</si>
  <si>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</si>
  <si>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</si>
  <si>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</si>
  <si>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</si>
  <si>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</si>
  <si>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</si>
  <si>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</si>
  <si>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</si>
  <si>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</si>
  <si>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</si>
  <si>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</si>
  <si>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</si>
  <si>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</si>
  <si>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</si>
  <si>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</si>
  <si>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</si>
  <si>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</si>
  <si>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</si>
  <si>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</si>
  <si>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</si>
  <si>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</si>
  <si>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</si>
  <si>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</si>
  <si>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</si>
  <si>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</si>
  <si>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</si>
  <si>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</si>
  <si>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</si>
  <si>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</si>
  <si>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</si>
  <si>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</si>
  <si>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</si>
  <si>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</si>
  <si>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</si>
  <si>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</si>
  <si>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</si>
  <si>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</si>
  <si>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</si>
  <si>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</si>
  <si>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</si>
  <si>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</si>
  <si>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</si>
  <si>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</si>
  <si>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</si>
  <si>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</si>
  <si>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</si>
  <si>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</si>
  <si>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</si>
  <si>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</si>
  <si>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</si>
  <si>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</si>
  <si>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</si>
  <si>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</si>
  <si>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</si>
  <si>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</si>
  <si>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</si>
  <si>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</si>
  <si>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</si>
  <si>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</si>
  <si>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</si>
  <si>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</si>
  <si>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</si>
  <si>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</si>
  <si>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</si>
  <si>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</si>
  <si>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</si>
  <si>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</si>
  <si>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</si>
  <si>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</si>
  <si>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</si>
  <si>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</si>
  <si>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</si>
  <si>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</si>
  <si>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</si>
  <si>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</si>
  <si>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</si>
  <si>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</si>
  <si>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</si>
  <si>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</si>
  <si>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</si>
  <si>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</si>
  <si>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</si>
  <si>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</si>
  <si>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</si>
  <si>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</si>
  <si>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</si>
  <si>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</si>
  <si>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</si>
  <si>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</si>
  <si>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</si>
  <si>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</si>
  <si>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</si>
  <si>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</si>
  <si>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</si>
  <si>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</si>
  <si>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</si>
  <si>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</si>
  <si>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</si>
  <si>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</si>
  <si>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</si>
  <si>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</si>
  <si>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</si>
  <si>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</si>
  <si>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</si>
  <si>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</si>
  <si>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</si>
  <si>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</si>
  <si>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</si>
  <si>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</si>
  <si>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</si>
  <si>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</si>
  <si>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</si>
  <si>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</si>
  <si>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</si>
  <si>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</si>
  <si>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</si>
  <si>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</si>
  <si>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</si>
  <si>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</si>
  <si>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</si>
  <si>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</si>
  <si>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</si>
  <si>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</si>
  <si>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</si>
  <si>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</si>
  <si>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</si>
  <si>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</si>
  <si>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</si>
  <si>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</si>
  <si>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</si>
  <si>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</si>
  <si>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</si>
  <si>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</si>
  <si>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</si>
  <si>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</si>
  <si>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</si>
  <si>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</si>
  <si>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</si>
  <si>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</si>
  <si>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</si>
  <si>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</si>
  <si>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</si>
  <si>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</si>
  <si>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</si>
  <si>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</si>
  <si>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</si>
  <si>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</si>
  <si>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</si>
  <si>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</si>
  <si>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</si>
  <si>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</si>
  <si>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</si>
  <si>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</si>
  <si>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</si>
  <si>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</si>
  <si>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</si>
  <si>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</si>
  <si>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</si>
  <si>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</si>
  <si>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</si>
  <si>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</si>
  <si>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</si>
  <si>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</si>
  <si>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</si>
  <si>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</si>
  <si>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</si>
  <si>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</si>
  <si>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</si>
  <si>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</si>
  <si>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</si>
  <si>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</si>
  <si>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</si>
  <si>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</si>
  <si>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</si>
  <si>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</si>
  <si>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</si>
  <si>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</si>
  <si>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</si>
  <si>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</si>
  <si>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</si>
  <si>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</si>
  <si>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</si>
  <si>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</si>
  <si>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</si>
  <si>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</si>
  <si>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</si>
  <si>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</si>
  <si>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</si>
  <si>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</si>
  <si>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</si>
  <si>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</si>
  <si>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</si>
  <si>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</si>
  <si>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</si>
  <si>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</si>
  <si>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</si>
  <si>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</si>
  <si>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</si>
  <si>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</si>
  <si>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</si>
  <si>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</si>
  <si>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</si>
  <si>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</si>
  <si>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</si>
  <si>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</si>
  <si>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</si>
  <si>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</si>
  <si>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May require very high GRE scores</t>
  </si>
  <si>
    <t>Moderate high GRE score required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</si>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</sst>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0" borderId="1" xfId="1" applyBorder="1"/>
    <xf numFmtId="3" fontId="0" fillId="0" borderId="1" xfId="0" applyNumberFormat="1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sheetPr filterMode="1"/>
  <dimension ref="A1:AG60"/>
  <sheetViews>
    <sheetView tabSelected="1" topLeftCell="T1" workbookViewId="0">
      <selection activeCell="Y6" sqref="Y6"/>
    </sheetView>
  </sheetViews>
  <sheetFormatPr defaultRowHeight="15" x14ac:dyDescent="0.25"/>
  <cols>
    <col min="1" max="1" width="8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2.7109375" style="6" bestFit="1" customWidth="1"/>
    <col min="7" max="7" width="27.140625" style="6" bestFit="1" customWidth="1"/>
    <col min="8" max="8" width="33.28515625" style="6" bestFit="1" customWidth="1"/>
    <col min="9" max="9" width="18" style="6" bestFit="1" customWidth="1"/>
    <col min="10" max="10" width="22.28515625" style="6" bestFit="1" customWidth="1"/>
    <col min="11" max="11" width="21.7109375" style="6" bestFit="1" customWidth="1"/>
    <col min="12" max="13" width="16.140625" style="6" bestFit="1" customWidth="1"/>
    <col min="14" max="14" width="15" style="35" bestFit="1" customWidth="1"/>
    <col min="15" max="15" width="15" style="6" bestFit="1" customWidth="1"/>
    <col min="16" max="16" width="11.140625" style="6" bestFit="1" customWidth="1"/>
    <col min="17" max="17" width="10.7109375" style="6" bestFit="1" customWidth="1"/>
    <col min="18" max="18" width="13.5703125" style="6" bestFit="1" customWidth="1"/>
    <col min="19" max="20" width="23.7109375" style="6" bestFit="1" customWidth="1"/>
    <col min="21" max="21" width="23.42578125" style="6" bestFit="1" customWidth="1"/>
    <col min="22" max="22" width="14.42578125" style="6" bestFit="1" customWidth="1"/>
    <col min="23" max="23" width="11" style="6" customWidth="1"/>
    <col min="24" max="24" width="10.5703125" style="6" customWidth="1"/>
    <col min="25" max="25" width="18.140625" style="6" bestFit="1" customWidth="1"/>
    <col min="26" max="26" width="11.140625" style="6" bestFit="1" customWidth="1"/>
    <col min="27" max="27" width="18.28515625" style="6" bestFit="1" customWidth="1"/>
    <col min="28" max="28" width="13" style="6" bestFit="1" customWidth="1"/>
    <col min="29" max="29" width="8.85546875" style="6" bestFit="1" customWidth="1"/>
    <col min="30" max="30" width="40.85546875" style="6" bestFit="1" customWidth="1"/>
    <col min="31" max="31" width="26.140625" style="10" bestFit="1" customWidth="1"/>
    <col min="32" max="32" width="17.28515625" style="6" bestFit="1" customWidth="1"/>
    <col min="33" max="33" width="63" style="6" bestFit="1" customWidth="1"/>
    <col min="34" max="16384" width="9.140625" style="6"/>
  </cols>
  <sheetData>
    <row r="1" spans="1:33" x14ac:dyDescent="0.25">
      <c r="A1" s="56" t="s">
        <v>200</v>
      </c>
      <c r="B1" s="56"/>
      <c r="C1" s="56"/>
      <c r="D1" s="56"/>
      <c r="E1" s="56"/>
      <c r="F1" s="17"/>
      <c r="G1" s="12"/>
      <c r="H1" s="12"/>
      <c r="I1" s="53" t="s">
        <v>201</v>
      </c>
      <c r="J1" s="50"/>
      <c r="K1" s="53" t="s">
        <v>170</v>
      </c>
      <c r="L1" s="49"/>
      <c r="M1" s="50"/>
      <c r="N1" s="56" t="s">
        <v>38</v>
      </c>
      <c r="O1" s="56"/>
      <c r="P1" s="53" t="s">
        <v>205</v>
      </c>
      <c r="Q1" s="49"/>
      <c r="R1" s="49"/>
      <c r="S1" s="49"/>
      <c r="T1" s="49"/>
      <c r="U1" s="50"/>
      <c r="V1" s="36"/>
      <c r="W1" s="49"/>
      <c r="X1" s="49"/>
      <c r="Y1" s="49"/>
      <c r="Z1" s="49"/>
      <c r="AA1" s="49"/>
      <c r="AB1" s="49"/>
      <c r="AC1" s="49"/>
      <c r="AD1" s="49"/>
      <c r="AE1" s="49"/>
      <c r="AF1" s="50"/>
      <c r="AG1" s="51" t="s">
        <v>33</v>
      </c>
    </row>
    <row r="2" spans="1:3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46</v>
      </c>
      <c r="F2" s="1" t="s">
        <v>301</v>
      </c>
      <c r="G2" s="1" t="s">
        <v>265</v>
      </c>
      <c r="H2" s="1" t="s">
        <v>266</v>
      </c>
      <c r="I2" s="1" t="s">
        <v>197</v>
      </c>
      <c r="J2" s="1" t="s">
        <v>196</v>
      </c>
      <c r="K2" s="1" t="s">
        <v>322</v>
      </c>
      <c r="L2" s="1" t="s">
        <v>202</v>
      </c>
      <c r="M2" s="1" t="s">
        <v>203</v>
      </c>
      <c r="N2" s="34" t="s">
        <v>352</v>
      </c>
      <c r="O2" s="30" t="s">
        <v>351</v>
      </c>
      <c r="P2" s="1" t="s">
        <v>159</v>
      </c>
      <c r="Q2" s="1" t="s">
        <v>28</v>
      </c>
      <c r="R2" s="1" t="s">
        <v>158</v>
      </c>
      <c r="S2" s="1" t="s">
        <v>29</v>
      </c>
      <c r="T2" s="4" t="s">
        <v>204</v>
      </c>
      <c r="U2" s="1" t="s">
        <v>57</v>
      </c>
      <c r="V2" s="1" t="s">
        <v>5</v>
      </c>
      <c r="W2" s="1" t="s">
        <v>284</v>
      </c>
      <c r="X2" s="1" t="s">
        <v>41</v>
      </c>
      <c r="Y2" s="1" t="s">
        <v>4</v>
      </c>
      <c r="Z2" s="1" t="s">
        <v>238</v>
      </c>
      <c r="AA2" s="1" t="s">
        <v>239</v>
      </c>
      <c r="AB2" s="1" t="s">
        <v>30</v>
      </c>
      <c r="AC2" s="1" t="s">
        <v>234</v>
      </c>
      <c r="AD2" s="1" t="s">
        <v>107</v>
      </c>
      <c r="AE2" s="8" t="s">
        <v>34</v>
      </c>
      <c r="AF2" s="1" t="s">
        <v>235</v>
      </c>
      <c r="AG2" s="52"/>
    </row>
    <row r="3" spans="1:33" x14ac:dyDescent="0.25">
      <c r="A3" s="14">
        <v>1</v>
      </c>
      <c r="B3" s="2" t="s">
        <v>247</v>
      </c>
      <c r="C3" s="2" t="s">
        <v>55</v>
      </c>
      <c r="D3" s="2" t="s">
        <v>54</v>
      </c>
      <c r="E3" s="2" t="s">
        <v>56</v>
      </c>
      <c r="F3" s="6">
        <v>60</v>
      </c>
      <c r="H3" s="2" t="s">
        <v>264</v>
      </c>
      <c r="I3" s="2"/>
      <c r="J3" s="2">
        <v>0</v>
      </c>
      <c r="K3" s="28"/>
      <c r="L3" s="54" t="s">
        <v>298</v>
      </c>
      <c r="M3" s="55"/>
      <c r="N3" s="32"/>
      <c r="O3" s="2" t="s">
        <v>39</v>
      </c>
      <c r="P3" s="2" t="s">
        <v>160</v>
      </c>
      <c r="Q3" s="3">
        <v>25046</v>
      </c>
      <c r="R3" s="3">
        <v>21800</v>
      </c>
      <c r="S3" s="3">
        <f t="shared" ref="S3:S34" si="0">Q3+R3</f>
        <v>46846</v>
      </c>
      <c r="T3" s="3"/>
      <c r="U3" s="2"/>
      <c r="V3" s="2">
        <f>VLOOKUP(B3,Overall_Rank,2,)</f>
        <v>50</v>
      </c>
      <c r="W3" s="2">
        <v>0.13039999999999999</v>
      </c>
      <c r="X3" s="2">
        <v>82.9</v>
      </c>
      <c r="Y3" s="2"/>
      <c r="Z3" s="14">
        <v>91</v>
      </c>
      <c r="AA3" s="2"/>
      <c r="AB3" s="2"/>
      <c r="AC3" s="2"/>
      <c r="AD3" s="2" t="s">
        <v>263</v>
      </c>
      <c r="AE3" s="9" t="s">
        <v>207</v>
      </c>
      <c r="AF3" s="2"/>
      <c r="AG3" s="2"/>
    </row>
    <row r="4" spans="1:33" x14ac:dyDescent="0.25">
      <c r="A4" s="14">
        <v>2</v>
      </c>
      <c r="B4" s="47" t="s">
        <v>7</v>
      </c>
      <c r="C4" s="2" t="s">
        <v>59</v>
      </c>
      <c r="D4" s="2" t="s">
        <v>58</v>
      </c>
      <c r="E4" s="2" t="s">
        <v>56</v>
      </c>
      <c r="F4" s="2">
        <v>70</v>
      </c>
      <c r="G4" s="2" t="s">
        <v>267</v>
      </c>
      <c r="H4" s="2" t="s">
        <v>268</v>
      </c>
      <c r="I4" s="2"/>
      <c r="J4" s="2">
        <v>1</v>
      </c>
      <c r="K4" s="28"/>
      <c r="L4" s="54" t="s">
        <v>298</v>
      </c>
      <c r="M4" s="55"/>
      <c r="N4" s="32">
        <v>100</v>
      </c>
      <c r="O4" s="2" t="s">
        <v>39</v>
      </c>
      <c r="P4" s="2" t="s">
        <v>160</v>
      </c>
      <c r="Q4" s="3">
        <v>47470</v>
      </c>
      <c r="R4" s="3">
        <v>24133</v>
      </c>
      <c r="S4" s="3">
        <f t="shared" si="0"/>
        <v>71603</v>
      </c>
      <c r="T4" s="3"/>
      <c r="U4" s="2"/>
      <c r="V4" s="2">
        <f t="shared" ref="V4:V34" si="1">VLOOKUP(B4,Overall_Rank,2,)</f>
        <v>3</v>
      </c>
      <c r="W4" s="2">
        <v>0.1094</v>
      </c>
      <c r="X4" s="2">
        <v>23.7</v>
      </c>
      <c r="Y4" s="2"/>
      <c r="Z4" s="2">
        <v>88</v>
      </c>
      <c r="AA4" s="13">
        <v>117357</v>
      </c>
      <c r="AB4" s="2"/>
      <c r="AC4" s="2"/>
      <c r="AD4" s="2" t="s">
        <v>198</v>
      </c>
      <c r="AE4" s="9" t="s">
        <v>208</v>
      </c>
      <c r="AF4" s="2"/>
      <c r="AG4" s="2"/>
    </row>
    <row r="5" spans="1:33" x14ac:dyDescent="0.25">
      <c r="A5" s="14">
        <v>3</v>
      </c>
      <c r="B5" s="42" t="s">
        <v>419</v>
      </c>
      <c r="C5" s="2" t="s">
        <v>60</v>
      </c>
      <c r="D5" s="2" t="s">
        <v>61</v>
      </c>
      <c r="E5" s="2" t="s">
        <v>56</v>
      </c>
      <c r="F5" s="2">
        <v>20</v>
      </c>
      <c r="G5" s="2"/>
      <c r="H5" s="22" t="s">
        <v>269</v>
      </c>
      <c r="I5" s="2"/>
      <c r="J5" s="2">
        <v>0</v>
      </c>
      <c r="K5" s="2"/>
      <c r="L5" s="2" t="s">
        <v>299</v>
      </c>
      <c r="M5" s="16">
        <v>43511</v>
      </c>
      <c r="N5" s="31">
        <v>100</v>
      </c>
      <c r="O5" s="2" t="s">
        <v>40</v>
      </c>
      <c r="P5" s="2" t="s">
        <v>160</v>
      </c>
      <c r="Q5" s="3">
        <v>48432</v>
      </c>
      <c r="R5" s="3">
        <v>34362</v>
      </c>
      <c r="S5" s="3">
        <f t="shared" si="0"/>
        <v>82794</v>
      </c>
      <c r="T5" s="3"/>
      <c r="U5" s="2"/>
      <c r="V5" s="2">
        <f t="shared" si="1"/>
        <v>9</v>
      </c>
      <c r="W5" s="2">
        <v>0.58320000000000005</v>
      </c>
      <c r="X5" s="2">
        <v>6.6</v>
      </c>
      <c r="Y5" s="2"/>
      <c r="Z5" s="2"/>
      <c r="AA5" s="2"/>
      <c r="AB5" s="2"/>
      <c r="AC5" s="2"/>
      <c r="AD5" s="2" t="s">
        <v>195</v>
      </c>
      <c r="AE5" s="9" t="s">
        <v>210</v>
      </c>
      <c r="AF5" s="2"/>
      <c r="AG5" s="2"/>
    </row>
    <row r="6" spans="1:33" x14ac:dyDescent="0.25">
      <c r="A6" s="14">
        <v>4</v>
      </c>
      <c r="B6" s="42" t="s">
        <v>422</v>
      </c>
      <c r="C6" s="2" t="s">
        <v>65</v>
      </c>
      <c r="D6" s="2" t="s">
        <v>66</v>
      </c>
      <c r="E6" s="2" t="s">
        <v>64</v>
      </c>
      <c r="F6" s="2">
        <v>50</v>
      </c>
      <c r="G6" s="2"/>
      <c r="H6" s="22" t="s">
        <v>270</v>
      </c>
      <c r="I6" s="2"/>
      <c r="J6" s="2">
        <v>0</v>
      </c>
      <c r="K6" s="2"/>
      <c r="L6" s="2"/>
      <c r="M6" s="16">
        <v>43449</v>
      </c>
      <c r="N6" s="31">
        <v>100</v>
      </c>
      <c r="O6" s="2" t="s">
        <v>40</v>
      </c>
      <c r="P6" s="2" t="s">
        <v>161</v>
      </c>
      <c r="Q6" s="3">
        <v>1060</v>
      </c>
      <c r="R6" s="3">
        <f>2250*12</f>
        <v>27000</v>
      </c>
      <c r="S6" s="3">
        <f t="shared" si="0"/>
        <v>28060</v>
      </c>
      <c r="T6" s="3"/>
      <c r="U6" s="2"/>
      <c r="V6" s="2">
        <f t="shared" si="1"/>
        <v>21</v>
      </c>
      <c r="W6" s="2">
        <v>5.3999999999999999E-2</v>
      </c>
      <c r="X6" s="2"/>
      <c r="Y6" s="2"/>
      <c r="Z6" s="2"/>
      <c r="AA6" s="2"/>
      <c r="AB6" s="2"/>
      <c r="AC6" s="2"/>
      <c r="AD6" s="2" t="s">
        <v>199</v>
      </c>
      <c r="AE6" s="9" t="s">
        <v>219</v>
      </c>
      <c r="AF6" s="2"/>
      <c r="AG6" s="2"/>
    </row>
    <row r="7" spans="1:33" x14ac:dyDescent="0.25">
      <c r="A7" s="14">
        <v>5</v>
      </c>
      <c r="B7" s="47" t="s">
        <v>211</v>
      </c>
      <c r="C7" s="2" t="s">
        <v>68</v>
      </c>
      <c r="D7" s="2" t="s">
        <v>67</v>
      </c>
      <c r="E7" s="2" t="s">
        <v>56</v>
      </c>
      <c r="F7" s="2">
        <v>80</v>
      </c>
      <c r="G7" s="2"/>
      <c r="H7" s="22" t="s">
        <v>269</v>
      </c>
      <c r="I7" s="2"/>
      <c r="J7" s="2">
        <v>1</v>
      </c>
      <c r="K7" s="2"/>
      <c r="L7" s="2"/>
      <c r="M7" s="16">
        <v>43497</v>
      </c>
      <c r="N7" s="31">
        <v>90</v>
      </c>
      <c r="O7" s="2" t="s">
        <v>39</v>
      </c>
      <c r="P7" s="2" t="s">
        <v>160</v>
      </c>
      <c r="Q7" s="3">
        <v>29954</v>
      </c>
      <c r="R7" s="3">
        <v>14918</v>
      </c>
      <c r="S7" s="3">
        <f t="shared" si="0"/>
        <v>44872</v>
      </c>
      <c r="T7" s="3"/>
      <c r="U7" s="2"/>
      <c r="V7" s="2">
        <f t="shared" si="1"/>
        <v>7</v>
      </c>
      <c r="W7" s="2">
        <v>0.27060000000000001</v>
      </c>
      <c r="X7" s="2">
        <v>32</v>
      </c>
      <c r="Y7" s="2"/>
      <c r="Z7" s="2"/>
      <c r="AA7" s="2"/>
      <c r="AB7" s="2"/>
      <c r="AC7" s="2"/>
      <c r="AD7" s="2"/>
      <c r="AE7" s="9" t="s">
        <v>218</v>
      </c>
      <c r="AF7" s="2"/>
      <c r="AG7" s="2"/>
    </row>
    <row r="8" spans="1:33" x14ac:dyDescent="0.25">
      <c r="A8" s="14">
        <v>6</v>
      </c>
      <c r="B8" s="45" t="s">
        <v>17</v>
      </c>
      <c r="C8" s="2" t="s">
        <v>60</v>
      </c>
      <c r="D8" s="2" t="s">
        <v>61</v>
      </c>
      <c r="E8" s="2" t="s">
        <v>56</v>
      </c>
      <c r="F8" s="2">
        <v>30</v>
      </c>
      <c r="G8" s="2"/>
      <c r="H8" s="22"/>
      <c r="I8" s="2"/>
      <c r="J8" s="2">
        <v>0</v>
      </c>
      <c r="K8" s="2"/>
      <c r="L8" s="2"/>
      <c r="M8" s="2"/>
      <c r="N8" s="31">
        <v>80</v>
      </c>
      <c r="O8" s="2" t="s">
        <v>39</v>
      </c>
      <c r="P8" s="2" t="s">
        <v>160</v>
      </c>
      <c r="Q8" s="3">
        <v>46340</v>
      </c>
      <c r="R8" s="3">
        <v>25310</v>
      </c>
      <c r="S8" s="3">
        <f t="shared" si="0"/>
        <v>71650</v>
      </c>
      <c r="T8" s="3"/>
      <c r="U8" s="2"/>
      <c r="V8" s="2">
        <f t="shared" si="1"/>
        <v>8</v>
      </c>
      <c r="W8" s="2">
        <v>0.58320000000000005</v>
      </c>
      <c r="X8" s="2">
        <v>5.6</v>
      </c>
      <c r="Y8" s="2"/>
      <c r="Z8" s="2"/>
      <c r="AA8" s="2"/>
      <c r="AB8" s="2"/>
      <c r="AC8" s="2"/>
      <c r="AD8" s="2"/>
      <c r="AE8" s="9" t="s">
        <v>219</v>
      </c>
      <c r="AF8" s="2"/>
      <c r="AG8" s="2" t="s">
        <v>300</v>
      </c>
    </row>
    <row r="9" spans="1:33" x14ac:dyDescent="0.25">
      <c r="A9" s="14">
        <v>7</v>
      </c>
      <c r="B9" s="2" t="s">
        <v>11</v>
      </c>
      <c r="C9" s="2" t="s">
        <v>70</v>
      </c>
      <c r="D9" s="2" t="s">
        <v>69</v>
      </c>
      <c r="E9" s="2" t="s">
        <v>56</v>
      </c>
      <c r="F9" s="2">
        <v>70</v>
      </c>
      <c r="G9" s="2"/>
      <c r="H9" s="22" t="s">
        <v>271</v>
      </c>
      <c r="I9" s="2"/>
      <c r="J9" s="2">
        <v>1</v>
      </c>
      <c r="K9" s="2"/>
      <c r="L9" s="2"/>
      <c r="M9" s="24" t="s">
        <v>303</v>
      </c>
      <c r="N9" s="31">
        <v>100</v>
      </c>
      <c r="O9" s="2" t="s">
        <v>39</v>
      </c>
      <c r="P9" s="2" t="s">
        <v>160</v>
      </c>
      <c r="Q9" s="3">
        <v>51828</v>
      </c>
      <c r="R9" s="3">
        <v>22848</v>
      </c>
      <c r="S9" s="3">
        <f t="shared" si="0"/>
        <v>74676</v>
      </c>
      <c r="T9" s="3"/>
      <c r="U9" s="2"/>
      <c r="V9" s="2">
        <f t="shared" si="1"/>
        <v>20</v>
      </c>
      <c r="W9" s="2">
        <v>0.81220000000000003</v>
      </c>
      <c r="X9" s="2">
        <v>32.1</v>
      </c>
      <c r="Y9" s="2"/>
      <c r="Z9" s="2"/>
      <c r="AA9" s="2"/>
      <c r="AB9" s="2"/>
      <c r="AC9" s="2"/>
      <c r="AD9" s="2"/>
      <c r="AE9" s="9" t="s">
        <v>220</v>
      </c>
      <c r="AF9" s="2"/>
      <c r="AG9" s="2" t="s">
        <v>302</v>
      </c>
    </row>
    <row r="10" spans="1:33" x14ac:dyDescent="0.25">
      <c r="A10" s="14">
        <f t="shared" ref="A10:A41" si="2">A9+1</f>
        <v>8</v>
      </c>
      <c r="B10" s="42" t="s">
        <v>431</v>
      </c>
      <c r="C10" s="2" t="s">
        <v>72</v>
      </c>
      <c r="D10" s="2" t="s">
        <v>71</v>
      </c>
      <c r="E10" s="2" t="s">
        <v>56</v>
      </c>
      <c r="F10" s="2"/>
      <c r="G10" s="2"/>
      <c r="H10" s="22" t="s">
        <v>269</v>
      </c>
      <c r="I10" s="2"/>
      <c r="J10" s="2">
        <v>0</v>
      </c>
      <c r="K10" s="2"/>
      <c r="L10" s="2"/>
      <c r="M10" s="16">
        <v>43449</v>
      </c>
      <c r="N10" s="31">
        <v>105</v>
      </c>
      <c r="O10" s="2" t="s">
        <v>39</v>
      </c>
      <c r="P10" s="2" t="s">
        <v>160</v>
      </c>
      <c r="Q10" s="3">
        <v>27982</v>
      </c>
      <c r="R10" s="3">
        <v>18176</v>
      </c>
      <c r="S10" s="3">
        <f t="shared" si="0"/>
        <v>46158</v>
      </c>
      <c r="T10" s="3"/>
      <c r="U10" s="2"/>
      <c r="V10" s="2">
        <f t="shared" si="1"/>
        <v>55</v>
      </c>
      <c r="W10" s="2">
        <v>0.14430000000000001</v>
      </c>
      <c r="X10" s="2">
        <v>50</v>
      </c>
      <c r="Y10" s="2"/>
      <c r="Z10" s="2"/>
      <c r="AA10" s="2"/>
      <c r="AB10" s="2"/>
      <c r="AC10" s="2"/>
      <c r="AD10" s="2"/>
      <c r="AE10" s="9" t="s">
        <v>208</v>
      </c>
      <c r="AF10" s="2"/>
      <c r="AG10" s="2"/>
    </row>
    <row r="11" spans="1:33" x14ac:dyDescent="0.25">
      <c r="A11" s="14">
        <f t="shared" si="2"/>
        <v>9</v>
      </c>
      <c r="B11" s="46" t="s">
        <v>18</v>
      </c>
      <c r="C11" s="2" t="s">
        <v>73</v>
      </c>
      <c r="D11" s="2" t="s">
        <v>74</v>
      </c>
      <c r="E11" s="2" t="s">
        <v>56</v>
      </c>
      <c r="F11" s="2">
        <v>60</v>
      </c>
      <c r="G11" s="2"/>
      <c r="H11" s="22" t="s">
        <v>272</v>
      </c>
      <c r="I11" s="2"/>
      <c r="J11" s="2">
        <v>1</v>
      </c>
      <c r="K11" s="2"/>
      <c r="L11" s="2"/>
      <c r="M11" s="25" t="s">
        <v>304</v>
      </c>
      <c r="N11" s="31">
        <v>90</v>
      </c>
      <c r="O11" s="2" t="s">
        <v>39</v>
      </c>
      <c r="P11" s="2" t="s">
        <v>160</v>
      </c>
      <c r="Q11" s="3">
        <v>54559</v>
      </c>
      <c r="R11" s="3">
        <v>19284</v>
      </c>
      <c r="S11" s="3">
        <f t="shared" si="0"/>
        <v>73843</v>
      </c>
      <c r="T11" s="3"/>
      <c r="U11" s="2"/>
      <c r="V11" s="2">
        <f t="shared" si="1"/>
        <v>37</v>
      </c>
      <c r="W11" s="2">
        <v>0.33550000000000002</v>
      </c>
      <c r="X11" s="2">
        <v>13</v>
      </c>
      <c r="Y11" s="2"/>
      <c r="Z11" s="2"/>
      <c r="AA11" s="2"/>
      <c r="AB11" s="2"/>
      <c r="AC11" s="2"/>
      <c r="AD11" s="2"/>
      <c r="AE11" s="9" t="s">
        <v>219</v>
      </c>
      <c r="AF11" s="2"/>
      <c r="AG11" s="2"/>
    </row>
    <row r="12" spans="1:33" x14ac:dyDescent="0.25">
      <c r="A12" s="14">
        <f t="shared" si="2"/>
        <v>10</v>
      </c>
      <c r="B12" s="46" t="s">
        <v>420</v>
      </c>
      <c r="C12" s="2" t="s">
        <v>77</v>
      </c>
      <c r="D12" s="2" t="s">
        <v>76</v>
      </c>
      <c r="E12" s="2" t="s">
        <v>56</v>
      </c>
      <c r="F12" s="2"/>
      <c r="G12" s="2"/>
      <c r="H12" s="22" t="s">
        <v>273</v>
      </c>
      <c r="I12" s="2"/>
      <c r="J12" s="2">
        <v>0</v>
      </c>
      <c r="K12" s="2"/>
      <c r="L12" s="2"/>
      <c r="M12" s="16">
        <v>43800</v>
      </c>
      <c r="N12" s="31">
        <v>92</v>
      </c>
      <c r="O12" s="2" t="s">
        <v>39</v>
      </c>
      <c r="P12" s="2" t="s">
        <v>160</v>
      </c>
      <c r="Q12" s="3">
        <v>33866</v>
      </c>
      <c r="R12" s="3">
        <v>18695</v>
      </c>
      <c r="S12" s="3">
        <f t="shared" si="0"/>
        <v>52561</v>
      </c>
      <c r="T12" s="3"/>
      <c r="U12" s="2"/>
      <c r="V12" s="2">
        <f t="shared" si="1"/>
        <v>46</v>
      </c>
      <c r="W12" s="2">
        <v>7.2599999999999998E-2</v>
      </c>
      <c r="X12" s="2">
        <v>49.4</v>
      </c>
      <c r="Y12" s="2"/>
      <c r="Z12" s="2"/>
      <c r="AA12" s="2"/>
      <c r="AB12" s="2"/>
      <c r="AC12" s="2"/>
      <c r="AD12" s="2"/>
      <c r="AE12" s="9" t="s">
        <v>221</v>
      </c>
      <c r="AF12" s="2"/>
      <c r="AG12" s="2"/>
    </row>
    <row r="13" spans="1:33" x14ac:dyDescent="0.25">
      <c r="A13" s="14">
        <f t="shared" si="2"/>
        <v>11</v>
      </c>
      <c r="B13" s="45" t="s">
        <v>450</v>
      </c>
      <c r="C13" s="2" t="s">
        <v>79</v>
      </c>
      <c r="D13" s="2" t="s">
        <v>78</v>
      </c>
      <c r="E13" s="2" t="s">
        <v>56</v>
      </c>
      <c r="F13" s="2"/>
      <c r="G13" s="2"/>
      <c r="H13" s="22"/>
      <c r="I13" s="2"/>
      <c r="J13" s="2">
        <v>0</v>
      </c>
      <c r="K13" s="2"/>
      <c r="L13" s="2"/>
      <c r="M13" s="24" t="s">
        <v>305</v>
      </c>
      <c r="N13" s="31">
        <v>80</v>
      </c>
      <c r="O13" s="2" t="s">
        <v>39</v>
      </c>
      <c r="P13" s="2" t="s">
        <v>160</v>
      </c>
      <c r="Q13" s="3">
        <v>25563</v>
      </c>
      <c r="R13" s="3">
        <v>16173</v>
      </c>
      <c r="S13" s="3">
        <f t="shared" si="0"/>
        <v>41736</v>
      </c>
      <c r="T13" s="3"/>
      <c r="U13" s="2"/>
      <c r="V13" s="2">
        <f t="shared" si="1"/>
        <v>57</v>
      </c>
      <c r="W13" s="2">
        <v>3.3999999999999998E-3</v>
      </c>
      <c r="X13" s="2">
        <v>78.400000000000006</v>
      </c>
      <c r="Y13" s="2"/>
      <c r="Z13" s="2"/>
      <c r="AA13" s="2"/>
      <c r="AB13" s="2"/>
      <c r="AC13" s="2"/>
      <c r="AD13" s="2"/>
      <c r="AE13" s="9" t="s">
        <v>222</v>
      </c>
      <c r="AF13" s="2"/>
      <c r="AG13" s="2"/>
    </row>
    <row r="14" spans="1:33" x14ac:dyDescent="0.25">
      <c r="A14" s="14">
        <f t="shared" si="2"/>
        <v>12</v>
      </c>
      <c r="B14" s="2" t="s">
        <v>414</v>
      </c>
      <c r="C14" s="2" t="s">
        <v>66</v>
      </c>
      <c r="D14" s="2" t="s">
        <v>58</v>
      </c>
      <c r="E14" s="2" t="s">
        <v>56</v>
      </c>
      <c r="F14" s="2"/>
      <c r="G14" s="2"/>
      <c r="H14" s="22" t="s">
        <v>274</v>
      </c>
      <c r="I14" s="2"/>
      <c r="J14" s="2">
        <v>1</v>
      </c>
      <c r="K14" s="2"/>
      <c r="L14" s="2"/>
      <c r="M14" s="16">
        <v>43449</v>
      </c>
      <c r="N14" s="31">
        <v>80</v>
      </c>
      <c r="O14" s="2" t="s">
        <v>39</v>
      </c>
      <c r="P14" s="2" t="s">
        <v>160</v>
      </c>
      <c r="Q14" s="3">
        <v>37022</v>
      </c>
      <c r="R14" s="3">
        <v>11178</v>
      </c>
      <c r="S14" s="3">
        <f t="shared" si="0"/>
        <v>48200</v>
      </c>
      <c r="T14" s="3"/>
      <c r="U14" s="2"/>
      <c r="V14" s="2">
        <f t="shared" si="1"/>
        <v>38</v>
      </c>
      <c r="W14" s="2">
        <v>0.39879999999999999</v>
      </c>
      <c r="X14" s="2">
        <v>51.3</v>
      </c>
      <c r="Y14" s="2"/>
      <c r="Z14" s="2"/>
      <c r="AA14" s="2"/>
      <c r="AB14" s="2"/>
      <c r="AC14" s="2"/>
      <c r="AD14" s="2"/>
      <c r="AE14" s="9" t="s">
        <v>209</v>
      </c>
      <c r="AF14" s="2"/>
      <c r="AG14" s="2"/>
    </row>
    <row r="15" spans="1:33" x14ac:dyDescent="0.25">
      <c r="A15" s="14">
        <f t="shared" si="2"/>
        <v>13</v>
      </c>
      <c r="B15" s="2" t="s">
        <v>16</v>
      </c>
      <c r="C15" s="2" t="s">
        <v>82</v>
      </c>
      <c r="D15" s="2" t="s">
        <v>81</v>
      </c>
      <c r="E15" s="2" t="s">
        <v>56</v>
      </c>
      <c r="F15" s="2"/>
      <c r="G15" s="2"/>
      <c r="H15" s="22" t="s">
        <v>275</v>
      </c>
      <c r="I15" s="2"/>
      <c r="J15" s="2">
        <v>1</v>
      </c>
      <c r="K15" s="2"/>
      <c r="L15" s="2"/>
      <c r="M15" s="16">
        <v>43454</v>
      </c>
      <c r="N15" s="31">
        <v>100</v>
      </c>
      <c r="O15" s="2" t="s">
        <v>39</v>
      </c>
      <c r="P15" s="2" t="s">
        <v>160</v>
      </c>
      <c r="Q15" s="3">
        <v>30794</v>
      </c>
      <c r="R15" s="3">
        <v>12970</v>
      </c>
      <c r="S15" s="3">
        <f t="shared" si="0"/>
        <v>43764</v>
      </c>
      <c r="T15" s="3"/>
      <c r="U15" s="2"/>
      <c r="V15" s="2">
        <f t="shared" si="1"/>
        <v>29</v>
      </c>
      <c r="W15" s="2">
        <v>2E-3</v>
      </c>
      <c r="X15" s="2">
        <v>59</v>
      </c>
      <c r="Y15" s="2"/>
      <c r="Z15" s="2"/>
      <c r="AA15" s="2"/>
      <c r="AB15" s="2"/>
      <c r="AC15" s="2"/>
      <c r="AD15" s="2"/>
      <c r="AE15" s="9" t="s">
        <v>223</v>
      </c>
      <c r="AF15" s="2"/>
      <c r="AG15" s="2"/>
    </row>
    <row r="16" spans="1:33" x14ac:dyDescent="0.25">
      <c r="A16" s="14">
        <f t="shared" si="2"/>
        <v>14</v>
      </c>
      <c r="B16" s="2" t="s">
        <v>20</v>
      </c>
      <c r="C16" s="2" t="s">
        <v>84</v>
      </c>
      <c r="D16" s="2" t="s">
        <v>83</v>
      </c>
      <c r="E16" s="2" t="s">
        <v>56</v>
      </c>
      <c r="F16" s="2"/>
      <c r="G16" s="2"/>
      <c r="I16" s="2"/>
      <c r="J16" s="2">
        <v>1</v>
      </c>
      <c r="K16" s="2"/>
      <c r="L16" s="2"/>
      <c r="M16" s="16">
        <v>43115</v>
      </c>
      <c r="N16" s="31">
        <v>100</v>
      </c>
      <c r="O16" s="2" t="s">
        <v>39</v>
      </c>
      <c r="P16" s="2" t="s">
        <v>160</v>
      </c>
      <c r="Q16" s="3">
        <v>20111</v>
      </c>
      <c r="R16" s="3">
        <v>18359</v>
      </c>
      <c r="S16" s="3">
        <f t="shared" si="0"/>
        <v>38470</v>
      </c>
      <c r="T16" s="3"/>
      <c r="U16" s="2"/>
      <c r="V16" s="2">
        <f t="shared" si="1"/>
        <v>51</v>
      </c>
      <c r="W16" s="2">
        <v>1.5E-3</v>
      </c>
      <c r="X16" s="2">
        <v>66.599999999999994</v>
      </c>
      <c r="Y16" s="2"/>
      <c r="Z16" s="2"/>
      <c r="AA16" s="2"/>
      <c r="AB16" s="2"/>
      <c r="AC16" s="2"/>
      <c r="AD16" s="2"/>
      <c r="AE16" s="9" t="s">
        <v>224</v>
      </c>
      <c r="AF16" s="2"/>
      <c r="AG16" s="2"/>
    </row>
    <row r="17" spans="1:33" x14ac:dyDescent="0.25">
      <c r="A17" s="14">
        <f t="shared" si="2"/>
        <v>15</v>
      </c>
      <c r="B17" s="42" t="s">
        <v>21</v>
      </c>
      <c r="C17" s="2" t="s">
        <v>86</v>
      </c>
      <c r="D17" s="2" t="s">
        <v>66</v>
      </c>
      <c r="E17" s="2" t="s">
        <v>85</v>
      </c>
      <c r="F17" s="2"/>
      <c r="G17" s="2"/>
      <c r="H17" s="23" t="s">
        <v>276</v>
      </c>
      <c r="I17" s="2"/>
      <c r="J17" s="2">
        <v>0</v>
      </c>
      <c r="K17" s="2"/>
      <c r="L17" s="2"/>
      <c r="M17" s="16">
        <v>43191</v>
      </c>
      <c r="N17" s="31">
        <v>90</v>
      </c>
      <c r="O17" s="2" t="s">
        <v>39</v>
      </c>
      <c r="P17" s="2" t="s">
        <v>169</v>
      </c>
      <c r="Q17" s="3">
        <v>15575</v>
      </c>
      <c r="R17" s="3">
        <v>10824</v>
      </c>
      <c r="S17" s="3">
        <f t="shared" si="0"/>
        <v>26399</v>
      </c>
      <c r="T17" s="3"/>
      <c r="U17" s="2"/>
      <c r="V17" s="2">
        <f t="shared" si="1"/>
        <v>45</v>
      </c>
      <c r="W17" s="2">
        <v>0.13239999999999999</v>
      </c>
      <c r="X17" s="2" t="s">
        <v>66</v>
      </c>
      <c r="Y17" s="2"/>
      <c r="Z17" s="2"/>
      <c r="AA17" s="2"/>
      <c r="AB17" s="2"/>
      <c r="AC17" s="2"/>
      <c r="AD17" s="2"/>
      <c r="AE17" s="9" t="s">
        <v>225</v>
      </c>
      <c r="AF17" s="2"/>
      <c r="AG17" s="2"/>
    </row>
    <row r="18" spans="1:33" x14ac:dyDescent="0.25">
      <c r="A18" s="14">
        <f t="shared" si="2"/>
        <v>16</v>
      </c>
      <c r="B18" s="2" t="s">
        <v>449</v>
      </c>
      <c r="C18" s="2" t="s">
        <v>87</v>
      </c>
      <c r="D18" s="2" t="s">
        <v>66</v>
      </c>
      <c r="E18" s="2" t="s">
        <v>88</v>
      </c>
      <c r="F18" s="2"/>
      <c r="G18" s="2"/>
      <c r="H18" s="22" t="s">
        <v>277</v>
      </c>
      <c r="I18" s="2"/>
      <c r="J18" s="2">
        <v>0</v>
      </c>
      <c r="K18" s="2"/>
      <c r="L18" s="2"/>
      <c r="M18" s="16">
        <v>43449</v>
      </c>
      <c r="N18" s="31">
        <v>100</v>
      </c>
      <c r="O18" s="2" t="s">
        <v>39</v>
      </c>
      <c r="P18" s="2" t="s">
        <v>163</v>
      </c>
      <c r="Q18" s="3">
        <v>8604.66</v>
      </c>
      <c r="R18" s="3">
        <v>8279.4399999999987</v>
      </c>
      <c r="S18" s="3">
        <f t="shared" si="0"/>
        <v>16884.099999999999</v>
      </c>
      <c r="T18" s="3"/>
      <c r="U18" s="3">
        <v>13684.1</v>
      </c>
      <c r="V18" s="2">
        <f t="shared" si="1"/>
        <v>31</v>
      </c>
      <c r="W18" s="2">
        <v>0.1331</v>
      </c>
      <c r="X18" s="2">
        <v>52.4</v>
      </c>
      <c r="Y18" s="2"/>
      <c r="Z18" s="2"/>
      <c r="AA18" s="2"/>
      <c r="AB18" s="2"/>
      <c r="AC18" s="2"/>
      <c r="AD18" s="2"/>
      <c r="AE18" s="9" t="s">
        <v>226</v>
      </c>
      <c r="AF18" s="2"/>
      <c r="AG18" s="2"/>
    </row>
    <row r="19" spans="1:33" x14ac:dyDescent="0.25">
      <c r="A19" s="14">
        <f t="shared" si="2"/>
        <v>17</v>
      </c>
      <c r="B19" s="2" t="s">
        <v>434</v>
      </c>
      <c r="C19" s="2" t="s">
        <v>89</v>
      </c>
      <c r="D19" s="2" t="s">
        <v>95</v>
      </c>
      <c r="E19" s="2" t="s">
        <v>56</v>
      </c>
      <c r="F19" s="2"/>
      <c r="G19" s="2"/>
      <c r="H19" s="22" t="s">
        <v>278</v>
      </c>
      <c r="I19" s="2"/>
      <c r="J19" s="2">
        <v>1</v>
      </c>
      <c r="K19" s="2"/>
      <c r="L19" s="2"/>
      <c r="M19" s="16">
        <v>43449</v>
      </c>
      <c r="N19" s="31">
        <v>80</v>
      </c>
      <c r="O19" s="2" t="s">
        <v>39</v>
      </c>
      <c r="P19" s="2" t="s">
        <v>160</v>
      </c>
      <c r="Q19" s="3">
        <v>34400</v>
      </c>
      <c r="R19" s="3">
        <v>18988.5</v>
      </c>
      <c r="S19" s="3">
        <f t="shared" si="0"/>
        <v>53388.5</v>
      </c>
      <c r="T19" s="3"/>
      <c r="U19" s="2"/>
      <c r="V19" s="2">
        <f t="shared" si="1"/>
        <v>34</v>
      </c>
      <c r="W19" s="2">
        <v>0.1371</v>
      </c>
      <c r="X19" s="2">
        <v>38.700000000000003</v>
      </c>
      <c r="Y19" s="2"/>
      <c r="Z19" s="2"/>
      <c r="AA19" s="2"/>
      <c r="AB19" s="2"/>
      <c r="AC19" s="2"/>
      <c r="AD19" s="2"/>
      <c r="AE19" s="9" t="s">
        <v>222</v>
      </c>
      <c r="AF19" s="2"/>
      <c r="AG19" s="2"/>
    </row>
    <row r="20" spans="1:33" x14ac:dyDescent="0.25">
      <c r="A20" s="14">
        <f t="shared" si="2"/>
        <v>18</v>
      </c>
      <c r="B20" s="42" t="s">
        <v>418</v>
      </c>
      <c r="C20" s="2" t="s">
        <v>90</v>
      </c>
      <c r="D20" s="2" t="s">
        <v>95</v>
      </c>
      <c r="E20" s="2" t="s">
        <v>56</v>
      </c>
      <c r="F20" s="2"/>
      <c r="G20" s="2"/>
      <c r="H20" s="22" t="s">
        <v>279</v>
      </c>
      <c r="I20" s="2"/>
      <c r="J20" s="2">
        <v>0</v>
      </c>
      <c r="K20" s="2"/>
      <c r="L20" s="2"/>
      <c r="M20" s="16">
        <v>43525</v>
      </c>
      <c r="N20" s="31">
        <v>80</v>
      </c>
      <c r="O20" s="2" t="s">
        <v>39</v>
      </c>
      <c r="P20" s="2" t="s">
        <v>160</v>
      </c>
      <c r="Q20" s="3">
        <v>29118</v>
      </c>
      <c r="R20" s="3">
        <v>19772</v>
      </c>
      <c r="S20" s="3">
        <f t="shared" si="0"/>
        <v>48890</v>
      </c>
      <c r="T20" s="3"/>
      <c r="U20" s="2"/>
      <c r="V20" s="2">
        <f t="shared" si="1"/>
        <v>58</v>
      </c>
      <c r="W20" s="2">
        <v>2.5600000000000001E-2</v>
      </c>
      <c r="X20" s="2">
        <v>55.6</v>
      </c>
      <c r="Y20" s="2"/>
      <c r="Z20" s="2"/>
      <c r="AA20" s="2"/>
      <c r="AB20" s="2"/>
      <c r="AC20" s="2"/>
      <c r="AD20" s="2"/>
      <c r="AE20" s="9" t="s">
        <v>227</v>
      </c>
      <c r="AF20" s="2"/>
      <c r="AG20" s="2"/>
    </row>
    <row r="21" spans="1:33" x14ac:dyDescent="0.25">
      <c r="A21" s="14">
        <f t="shared" si="2"/>
        <v>19</v>
      </c>
      <c r="B21" s="2" t="s">
        <v>411</v>
      </c>
      <c r="C21" s="2" t="s">
        <v>96</v>
      </c>
      <c r="D21" s="2" t="s">
        <v>95</v>
      </c>
      <c r="E21" s="2" t="s">
        <v>56</v>
      </c>
      <c r="F21" s="2"/>
      <c r="G21" s="2"/>
      <c r="H21" s="22"/>
      <c r="I21" s="2"/>
      <c r="J21" s="2">
        <v>1</v>
      </c>
      <c r="K21" s="2"/>
      <c r="L21" s="2"/>
      <c r="M21" s="16">
        <v>43816</v>
      </c>
      <c r="N21" s="31">
        <v>85</v>
      </c>
      <c r="O21" s="2" t="s">
        <v>39</v>
      </c>
      <c r="P21" s="2" t="s">
        <v>160</v>
      </c>
      <c r="Q21" s="3">
        <v>28914</v>
      </c>
      <c r="R21" s="3">
        <v>16842</v>
      </c>
      <c r="S21" s="3">
        <f t="shared" si="0"/>
        <v>45756</v>
      </c>
      <c r="T21" s="3"/>
      <c r="U21" s="2"/>
      <c r="V21" s="2">
        <f t="shared" si="1"/>
        <v>15</v>
      </c>
      <c r="W21" s="2">
        <v>0.15040000000000001</v>
      </c>
      <c r="X21" s="2">
        <v>33.700000000000003</v>
      </c>
      <c r="Y21" s="2"/>
      <c r="Z21" s="2"/>
      <c r="AA21" s="2"/>
      <c r="AB21" s="2"/>
      <c r="AC21" s="2"/>
      <c r="AD21" s="2"/>
      <c r="AE21" s="9" t="s">
        <v>226</v>
      </c>
      <c r="AF21" s="2"/>
      <c r="AG21" s="2"/>
    </row>
    <row r="22" spans="1:33" x14ac:dyDescent="0.25">
      <c r="A22" s="14">
        <f t="shared" si="2"/>
        <v>20</v>
      </c>
      <c r="B22" s="2" t="s">
        <v>432</v>
      </c>
      <c r="C22" s="2" t="s">
        <v>91</v>
      </c>
      <c r="D22" s="2" t="s">
        <v>95</v>
      </c>
      <c r="E22" s="2" t="s">
        <v>56</v>
      </c>
      <c r="F22" s="2"/>
      <c r="G22" s="2"/>
      <c r="H22" s="22"/>
      <c r="I22" s="2"/>
      <c r="J22" s="2">
        <v>1</v>
      </c>
      <c r="K22" s="2"/>
      <c r="L22" s="2"/>
      <c r="M22" s="16">
        <v>43449</v>
      </c>
      <c r="N22" s="31">
        <v>80</v>
      </c>
      <c r="O22" s="2" t="s">
        <v>39</v>
      </c>
      <c r="P22" s="2" t="s">
        <v>160</v>
      </c>
      <c r="Q22" s="3">
        <v>28995</v>
      </c>
      <c r="R22" s="3">
        <v>21403</v>
      </c>
      <c r="S22" s="3">
        <f t="shared" si="0"/>
        <v>50398</v>
      </c>
      <c r="T22" s="3"/>
      <c r="U22" s="2"/>
      <c r="V22" s="2">
        <f t="shared" si="1"/>
        <v>44</v>
      </c>
      <c r="W22" s="2">
        <v>1.5900000000000001E-2</v>
      </c>
      <c r="X22" s="2">
        <v>32.6</v>
      </c>
      <c r="Y22" s="2"/>
      <c r="Z22" s="2"/>
      <c r="AA22" s="2"/>
      <c r="AB22" s="2"/>
      <c r="AC22" s="2"/>
      <c r="AD22" s="2"/>
      <c r="AE22" s="9" t="s">
        <v>228</v>
      </c>
      <c r="AF22" s="2"/>
      <c r="AG22" s="2"/>
    </row>
    <row r="23" spans="1:33" x14ac:dyDescent="0.25">
      <c r="A23" s="14">
        <f t="shared" si="2"/>
        <v>21</v>
      </c>
      <c r="B23" s="46" t="s">
        <v>27</v>
      </c>
      <c r="C23" s="2" t="s">
        <v>92</v>
      </c>
      <c r="D23" s="2" t="s">
        <v>74</v>
      </c>
      <c r="E23" s="2" t="s">
        <v>56</v>
      </c>
      <c r="F23" s="2"/>
      <c r="G23" s="2"/>
      <c r="H23" s="22"/>
      <c r="I23" s="2"/>
      <c r="J23" s="2">
        <v>0</v>
      </c>
      <c r="K23" s="2"/>
      <c r="L23" s="16">
        <v>43469</v>
      </c>
      <c r="M23" s="16">
        <v>43560</v>
      </c>
      <c r="N23" s="31">
        <v>90</v>
      </c>
      <c r="O23" s="2" t="s">
        <v>39</v>
      </c>
      <c r="P23" s="2" t="s">
        <v>160</v>
      </c>
      <c r="Q23" s="3">
        <v>59245</v>
      </c>
      <c r="R23" s="3">
        <v>18557</v>
      </c>
      <c r="S23" s="3">
        <f t="shared" si="0"/>
        <v>77802</v>
      </c>
      <c r="T23" s="3"/>
      <c r="U23" s="2"/>
      <c r="V23" s="2">
        <f t="shared" si="1"/>
        <v>36</v>
      </c>
      <c r="W23" s="2">
        <v>0.31430000000000002</v>
      </c>
      <c r="X23" s="2">
        <v>8.4</v>
      </c>
      <c r="Y23" s="2"/>
      <c r="Z23" s="2"/>
      <c r="AA23" s="2"/>
      <c r="AB23" s="2"/>
      <c r="AC23" s="2"/>
      <c r="AD23" s="2"/>
      <c r="AE23" s="9" t="s">
        <v>210</v>
      </c>
      <c r="AF23" s="2"/>
      <c r="AG23" s="2"/>
    </row>
    <row r="24" spans="1:33" x14ac:dyDescent="0.25">
      <c r="A24" s="14">
        <f t="shared" si="2"/>
        <v>22</v>
      </c>
      <c r="B24" s="42" t="s">
        <v>32</v>
      </c>
      <c r="C24" s="2" t="s">
        <v>97</v>
      </c>
      <c r="D24" s="2" t="s">
        <v>93</v>
      </c>
      <c r="E24" s="2" t="s">
        <v>56</v>
      </c>
      <c r="F24" s="2"/>
      <c r="G24" s="2"/>
      <c r="H24" s="22"/>
      <c r="I24" s="2"/>
      <c r="J24" s="2">
        <v>0</v>
      </c>
      <c r="K24" s="2"/>
      <c r="L24" s="2"/>
      <c r="M24" s="16">
        <v>43497</v>
      </c>
      <c r="N24" s="31">
        <v>80</v>
      </c>
      <c r="O24" s="2" t="s">
        <v>39</v>
      </c>
      <c r="P24" s="2" t="s">
        <v>160</v>
      </c>
      <c r="Q24" s="3">
        <v>30130</v>
      </c>
      <c r="R24" s="3">
        <v>13421</v>
      </c>
      <c r="S24" s="3">
        <f t="shared" si="0"/>
        <v>43551</v>
      </c>
      <c r="T24" s="3"/>
      <c r="U24" s="2"/>
      <c r="V24" s="2">
        <f t="shared" si="1"/>
        <v>56</v>
      </c>
      <c r="W24" s="2">
        <v>5.7000000000000002E-3</v>
      </c>
      <c r="X24" s="2">
        <v>38</v>
      </c>
      <c r="Y24" s="2"/>
      <c r="Z24" s="2"/>
      <c r="AA24" s="2"/>
      <c r="AB24" s="2"/>
      <c r="AC24" s="2"/>
      <c r="AD24" s="2"/>
      <c r="AE24" s="9" t="s">
        <v>218</v>
      </c>
      <c r="AF24" s="2"/>
      <c r="AG24" s="2"/>
    </row>
    <row r="25" spans="1:33" x14ac:dyDescent="0.25">
      <c r="A25" s="14">
        <f t="shared" si="2"/>
        <v>23</v>
      </c>
      <c r="B25" s="45" t="s">
        <v>35</v>
      </c>
      <c r="C25" s="2" t="s">
        <v>60</v>
      </c>
      <c r="D25" s="2" t="s">
        <v>61</v>
      </c>
      <c r="E25" s="2" t="s">
        <v>56</v>
      </c>
      <c r="F25" s="2"/>
      <c r="G25" s="2"/>
      <c r="H25" s="22"/>
      <c r="I25" s="2"/>
      <c r="J25" s="2">
        <v>0</v>
      </c>
      <c r="K25" s="2"/>
      <c r="L25" s="2"/>
      <c r="M25" s="2"/>
      <c r="N25" s="31">
        <v>90</v>
      </c>
      <c r="O25" s="2" t="s">
        <v>39</v>
      </c>
      <c r="P25" s="2" t="s">
        <v>160</v>
      </c>
      <c r="Q25" s="3">
        <v>54589</v>
      </c>
      <c r="R25" s="3">
        <v>17066</v>
      </c>
      <c r="S25" s="3">
        <f t="shared" si="0"/>
        <v>71655</v>
      </c>
      <c r="T25" s="3"/>
      <c r="U25" s="2"/>
      <c r="V25" s="2">
        <f t="shared" si="1"/>
        <v>1</v>
      </c>
      <c r="W25" s="2">
        <v>0.58379999999999999</v>
      </c>
      <c r="X25" s="2">
        <v>8.3000000000000007</v>
      </c>
      <c r="Y25" s="2"/>
      <c r="Z25" s="2"/>
      <c r="AA25" s="2"/>
      <c r="AB25" s="2"/>
      <c r="AC25" s="2"/>
      <c r="AD25" s="2"/>
      <c r="AE25" s="9" t="s">
        <v>229</v>
      </c>
      <c r="AF25" s="2"/>
      <c r="AG25" s="2" t="s">
        <v>306</v>
      </c>
    </row>
    <row r="26" spans="1:33" x14ac:dyDescent="0.25">
      <c r="A26" s="14">
        <f t="shared" si="2"/>
        <v>24</v>
      </c>
      <c r="B26" s="2" t="s">
        <v>36</v>
      </c>
      <c r="C26" s="2" t="s">
        <v>106</v>
      </c>
      <c r="D26" s="2" t="s">
        <v>95</v>
      </c>
      <c r="E26" s="2" t="s">
        <v>56</v>
      </c>
      <c r="F26" s="2"/>
      <c r="G26" s="2"/>
      <c r="H26" s="22"/>
      <c r="I26" s="2"/>
      <c r="J26" s="2">
        <v>0</v>
      </c>
      <c r="K26" s="2"/>
      <c r="L26" s="2"/>
      <c r="M26" s="16">
        <v>43438</v>
      </c>
      <c r="N26" s="31">
        <v>89</v>
      </c>
      <c r="O26" s="2" t="s">
        <v>39</v>
      </c>
      <c r="P26" s="2" t="s">
        <v>160</v>
      </c>
      <c r="Q26" s="3">
        <v>51353</v>
      </c>
      <c r="R26" s="3">
        <v>18804</v>
      </c>
      <c r="S26" s="3">
        <f t="shared" si="0"/>
        <v>70157</v>
      </c>
      <c r="T26" s="3"/>
      <c r="U26" s="2"/>
      <c r="V26" s="2">
        <f t="shared" si="1"/>
        <v>2</v>
      </c>
      <c r="W26" s="2">
        <v>1</v>
      </c>
      <c r="X26" s="2">
        <v>5</v>
      </c>
      <c r="Y26" s="2"/>
      <c r="Z26" s="2"/>
      <c r="AA26" s="2"/>
      <c r="AB26" s="2"/>
      <c r="AC26" s="2"/>
      <c r="AD26" s="2"/>
      <c r="AE26" s="9" t="s">
        <v>230</v>
      </c>
      <c r="AF26" s="2"/>
      <c r="AG26" s="2"/>
    </row>
    <row r="27" spans="1:33" x14ac:dyDescent="0.25">
      <c r="A27" s="14">
        <f t="shared" si="2"/>
        <v>25</v>
      </c>
      <c r="B27" s="2" t="s">
        <v>42</v>
      </c>
      <c r="C27" s="2" t="s">
        <v>98</v>
      </c>
      <c r="D27" s="2" t="s">
        <v>95</v>
      </c>
      <c r="E27" s="2" t="s">
        <v>56</v>
      </c>
      <c r="F27" s="2"/>
      <c r="G27" s="2"/>
      <c r="H27" s="22"/>
      <c r="I27" s="2"/>
      <c r="J27" s="2">
        <v>0</v>
      </c>
      <c r="K27" s="2"/>
      <c r="L27" s="16"/>
      <c r="M27" s="16">
        <v>43435</v>
      </c>
      <c r="N27" s="31" t="s">
        <v>299</v>
      </c>
      <c r="O27" s="2" t="s">
        <v>39</v>
      </c>
      <c r="P27" s="2" t="s">
        <v>160</v>
      </c>
      <c r="Q27" s="3">
        <v>52234</v>
      </c>
      <c r="R27" s="3">
        <v>17468</v>
      </c>
      <c r="S27" s="3">
        <f t="shared" si="0"/>
        <v>69702</v>
      </c>
      <c r="T27" s="3"/>
      <c r="U27" s="2"/>
      <c r="V27" s="2">
        <f t="shared" si="1"/>
        <v>35</v>
      </c>
      <c r="W27" s="2">
        <v>0.28889999999999999</v>
      </c>
      <c r="X27" s="2">
        <v>8.8000000000000007</v>
      </c>
      <c r="Y27" s="2"/>
      <c r="Z27" s="2"/>
      <c r="AA27" s="2"/>
      <c r="AB27" s="2"/>
      <c r="AC27" s="2"/>
      <c r="AD27" s="2"/>
      <c r="AE27" s="9" t="s">
        <v>229</v>
      </c>
      <c r="AF27" s="2"/>
      <c r="AG27" s="2"/>
    </row>
    <row r="28" spans="1:33" x14ac:dyDescent="0.25">
      <c r="A28" s="14">
        <f t="shared" si="2"/>
        <v>26</v>
      </c>
      <c r="B28" s="42" t="s">
        <v>43</v>
      </c>
      <c r="C28" s="2" t="s">
        <v>94</v>
      </c>
      <c r="D28" s="2" t="s">
        <v>66</v>
      </c>
      <c r="E28" s="2" t="s">
        <v>99</v>
      </c>
      <c r="F28" s="2"/>
      <c r="G28" s="2"/>
      <c r="H28" s="22" t="s">
        <v>280</v>
      </c>
      <c r="I28" s="2"/>
      <c r="J28" s="2">
        <v>0</v>
      </c>
      <c r="K28" s="2"/>
      <c r="L28" s="25" t="s">
        <v>307</v>
      </c>
      <c r="M28" s="25" t="s">
        <v>308</v>
      </c>
      <c r="N28" s="33" t="s">
        <v>353</v>
      </c>
      <c r="O28" s="2" t="s">
        <v>39</v>
      </c>
      <c r="P28" s="2" t="s">
        <v>165</v>
      </c>
      <c r="Q28" s="3">
        <v>23027</v>
      </c>
      <c r="R28" s="3">
        <f xml:space="preserve"> 1555 * 12</f>
        <v>18660</v>
      </c>
      <c r="S28" s="3">
        <f t="shared" si="0"/>
        <v>41687</v>
      </c>
      <c r="T28" s="3"/>
      <c r="U28" s="2"/>
      <c r="V28" s="2">
        <f t="shared" si="1"/>
        <v>19</v>
      </c>
      <c r="W28" s="2">
        <v>8.4099999999999994E-2</v>
      </c>
      <c r="X28" s="2">
        <v>17.5</v>
      </c>
      <c r="Y28" s="2"/>
      <c r="Z28" s="2"/>
      <c r="AA28" s="2"/>
      <c r="AB28" s="2"/>
      <c r="AC28" s="2"/>
      <c r="AD28" s="2"/>
      <c r="AE28" s="9" t="s">
        <v>230</v>
      </c>
      <c r="AF28" s="2"/>
      <c r="AG28" s="2"/>
    </row>
    <row r="29" spans="1:33" x14ac:dyDescent="0.25">
      <c r="A29" s="14">
        <f t="shared" si="2"/>
        <v>27</v>
      </c>
      <c r="B29" s="42" t="s">
        <v>44</v>
      </c>
      <c r="C29" s="2" t="s">
        <v>45</v>
      </c>
      <c r="D29" s="2" t="s">
        <v>66</v>
      </c>
      <c r="E29" s="2" t="s">
        <v>99</v>
      </c>
      <c r="F29" s="2"/>
      <c r="G29" s="2"/>
      <c r="H29" s="22" t="s">
        <v>281</v>
      </c>
      <c r="I29" s="2"/>
      <c r="J29" s="2">
        <v>0</v>
      </c>
      <c r="K29" s="2"/>
      <c r="L29" s="2"/>
      <c r="M29" s="2"/>
      <c r="N29" s="31">
        <v>100</v>
      </c>
      <c r="O29" s="2" t="s">
        <v>39</v>
      </c>
      <c r="P29" s="2" t="s">
        <v>165</v>
      </c>
      <c r="Q29" s="3">
        <v>30500</v>
      </c>
      <c r="R29" s="3">
        <v>11768</v>
      </c>
      <c r="S29" s="3">
        <f t="shared" si="0"/>
        <v>42268</v>
      </c>
      <c r="T29" s="3"/>
      <c r="U29" s="2"/>
      <c r="V29" s="2">
        <f t="shared" si="1"/>
        <v>24</v>
      </c>
      <c r="W29" s="2">
        <v>0.75349999999999995</v>
      </c>
      <c r="X29" s="2">
        <v>14.3</v>
      </c>
      <c r="Y29" s="2"/>
      <c r="Z29" s="2"/>
      <c r="AA29" s="2"/>
      <c r="AB29" s="2"/>
      <c r="AC29" s="2"/>
      <c r="AD29" s="2"/>
      <c r="AE29" s="9" t="s">
        <v>231</v>
      </c>
      <c r="AF29" s="2"/>
      <c r="AG29" s="2" t="s">
        <v>318</v>
      </c>
    </row>
    <row r="30" spans="1:33" x14ac:dyDescent="0.25">
      <c r="A30" s="14">
        <f t="shared" si="2"/>
        <v>28</v>
      </c>
      <c r="B30" s="45" t="s">
        <v>47</v>
      </c>
      <c r="C30" s="2" t="s">
        <v>66</v>
      </c>
      <c r="D30" s="2" t="s">
        <v>66</v>
      </c>
      <c r="E30" s="2" t="s">
        <v>75</v>
      </c>
      <c r="F30" s="2"/>
      <c r="G30" s="2"/>
      <c r="H30" s="22" t="s">
        <v>282</v>
      </c>
      <c r="I30" s="2">
        <v>0</v>
      </c>
      <c r="J30" s="2">
        <v>0</v>
      </c>
      <c r="K30" s="2"/>
      <c r="L30" s="2"/>
      <c r="M30" s="2"/>
      <c r="N30" s="31">
        <v>100</v>
      </c>
      <c r="O30" s="2" t="s">
        <v>39</v>
      </c>
      <c r="P30" s="2" t="s">
        <v>162</v>
      </c>
      <c r="Q30" s="3">
        <v>37350</v>
      </c>
      <c r="R30" s="3">
        <f>1680*12</f>
        <v>20160</v>
      </c>
      <c r="S30" s="3">
        <f t="shared" si="0"/>
        <v>57510</v>
      </c>
      <c r="T30" s="3"/>
      <c r="U30" s="2"/>
      <c r="V30" s="2">
        <f t="shared" si="1"/>
        <v>25</v>
      </c>
      <c r="W30" s="2">
        <v>0.2334</v>
      </c>
      <c r="X30" s="2"/>
      <c r="Y30" s="2"/>
      <c r="Z30" s="2"/>
      <c r="AA30" s="2"/>
      <c r="AB30" s="2"/>
      <c r="AC30" s="2"/>
      <c r="AD30" s="2"/>
      <c r="AE30" s="9" t="s">
        <v>210</v>
      </c>
      <c r="AF30" s="2"/>
      <c r="AG30" s="2" t="s">
        <v>317</v>
      </c>
    </row>
    <row r="31" spans="1:33" x14ac:dyDescent="0.25">
      <c r="A31" s="14">
        <f t="shared" si="2"/>
        <v>29</v>
      </c>
      <c r="B31" s="42" t="s">
        <v>19</v>
      </c>
      <c r="C31" s="2" t="s">
        <v>66</v>
      </c>
      <c r="D31" s="2" t="s">
        <v>66</v>
      </c>
      <c r="E31" s="2" t="s">
        <v>75</v>
      </c>
      <c r="F31" s="2"/>
      <c r="G31" s="2"/>
      <c r="H31" s="22" t="s">
        <v>283</v>
      </c>
      <c r="I31" s="2"/>
      <c r="J31" s="2">
        <v>0</v>
      </c>
      <c r="K31" s="2"/>
      <c r="L31" s="2"/>
      <c r="M31" s="16">
        <v>43539</v>
      </c>
      <c r="N31" s="31">
        <v>90</v>
      </c>
      <c r="O31" s="2" t="s">
        <v>39</v>
      </c>
      <c r="P31" s="2" t="s">
        <v>162</v>
      </c>
      <c r="Q31" s="3">
        <v>37550</v>
      </c>
      <c r="R31" s="3">
        <v>10386</v>
      </c>
      <c r="S31" s="3">
        <f t="shared" si="0"/>
        <v>47936</v>
      </c>
      <c r="T31" s="3"/>
      <c r="U31" s="2"/>
      <c r="V31" s="2">
        <f t="shared" si="1"/>
        <v>18</v>
      </c>
      <c r="W31" s="2">
        <v>0.2334</v>
      </c>
      <c r="X31" s="2"/>
      <c r="Y31" s="2"/>
      <c r="Z31" s="2"/>
      <c r="AA31" s="2"/>
      <c r="AB31" s="2"/>
      <c r="AC31" s="2"/>
      <c r="AD31" s="2"/>
      <c r="AE31" s="9" t="s">
        <v>219</v>
      </c>
      <c r="AF31" s="2"/>
      <c r="AG31" s="2" t="s">
        <v>320</v>
      </c>
    </row>
    <row r="32" spans="1:33" x14ac:dyDescent="0.25">
      <c r="A32" s="14">
        <f t="shared" si="2"/>
        <v>30</v>
      </c>
      <c r="B32" s="45" t="s">
        <v>436</v>
      </c>
      <c r="C32" s="2" t="s">
        <v>100</v>
      </c>
      <c r="D32" s="2" t="s">
        <v>66</v>
      </c>
      <c r="E32" s="2" t="s">
        <v>63</v>
      </c>
      <c r="F32" s="2"/>
      <c r="G32" s="2"/>
      <c r="H32" s="22"/>
      <c r="I32" s="2">
        <v>0</v>
      </c>
      <c r="J32" s="2">
        <v>0</v>
      </c>
      <c r="K32" s="2"/>
      <c r="L32" s="2"/>
      <c r="M32" s="2"/>
      <c r="N32" s="31"/>
      <c r="O32" s="2" t="s">
        <v>39</v>
      </c>
      <c r="P32" s="2" t="s">
        <v>164</v>
      </c>
      <c r="Q32" s="3">
        <v>535800</v>
      </c>
      <c r="R32" s="3">
        <f>202200*12</f>
        <v>2426400</v>
      </c>
      <c r="S32" s="3">
        <f t="shared" si="0"/>
        <v>2962200</v>
      </c>
      <c r="T32" s="3"/>
      <c r="U32" s="2"/>
      <c r="V32" s="2">
        <f t="shared" si="1"/>
        <v>27</v>
      </c>
      <c r="W32" s="2"/>
      <c r="X32" s="2">
        <v>34.200000000000003</v>
      </c>
      <c r="Y32" s="2"/>
      <c r="Z32" s="2"/>
      <c r="AA32" s="2"/>
      <c r="AB32" s="2"/>
      <c r="AC32" s="2"/>
      <c r="AD32" s="2"/>
      <c r="AE32" s="9" t="s">
        <v>219</v>
      </c>
      <c r="AF32" s="2"/>
      <c r="AG32" s="2"/>
    </row>
    <row r="33" spans="1:33" x14ac:dyDescent="0.25">
      <c r="A33" s="14">
        <f t="shared" si="2"/>
        <v>31</v>
      </c>
      <c r="B33" s="2" t="s">
        <v>405</v>
      </c>
      <c r="C33" s="2" t="s">
        <v>101</v>
      </c>
      <c r="D33" s="2" t="s">
        <v>95</v>
      </c>
      <c r="E33" s="2" t="s">
        <v>56</v>
      </c>
      <c r="F33" s="2"/>
      <c r="G33" s="2"/>
      <c r="H33" s="22"/>
      <c r="I33" s="2"/>
      <c r="J33" s="2">
        <v>1</v>
      </c>
      <c r="K33" s="2"/>
      <c r="L33" s="2"/>
      <c r="M33" s="16">
        <v>43816</v>
      </c>
      <c r="N33" s="31" t="s">
        <v>354</v>
      </c>
      <c r="O33" s="2" t="s">
        <v>39</v>
      </c>
      <c r="P33" s="2" t="s">
        <v>160</v>
      </c>
      <c r="Q33" s="3">
        <v>29948</v>
      </c>
      <c r="R33" s="3">
        <v>22263</v>
      </c>
      <c r="S33" s="3">
        <f t="shared" si="0"/>
        <v>52211</v>
      </c>
      <c r="T33" s="3"/>
      <c r="U33" s="2"/>
      <c r="V33" s="2">
        <f t="shared" si="1"/>
        <v>4</v>
      </c>
      <c r="W33" s="2">
        <v>0.66700000000000004</v>
      </c>
      <c r="X33" s="2">
        <v>16.899999999999999</v>
      </c>
      <c r="Y33" s="2"/>
      <c r="Z33" s="2"/>
      <c r="AA33" s="2"/>
      <c r="AB33" s="2"/>
      <c r="AC33" s="2"/>
      <c r="AD33" s="2"/>
      <c r="AE33" s="9" t="s">
        <v>222</v>
      </c>
      <c r="AF33" s="2"/>
      <c r="AG33" s="2"/>
    </row>
    <row r="34" spans="1:33" x14ac:dyDescent="0.25">
      <c r="A34" s="14">
        <f t="shared" si="2"/>
        <v>32</v>
      </c>
      <c r="B34" s="2" t="s">
        <v>50</v>
      </c>
      <c r="C34" s="2" t="s">
        <v>102</v>
      </c>
      <c r="D34" s="2" t="s">
        <v>66</v>
      </c>
      <c r="E34" s="2" t="s">
        <v>64</v>
      </c>
      <c r="F34" s="2"/>
      <c r="G34" s="2"/>
      <c r="H34" s="22" t="s">
        <v>270</v>
      </c>
      <c r="I34" s="2"/>
      <c r="J34" s="2">
        <v>0</v>
      </c>
      <c r="K34" s="2">
        <v>1</v>
      </c>
      <c r="L34" s="16">
        <v>43480</v>
      </c>
      <c r="M34" s="16">
        <v>43570</v>
      </c>
      <c r="N34" s="31" t="s">
        <v>299</v>
      </c>
      <c r="O34" s="2" t="s">
        <v>39</v>
      </c>
      <c r="P34" s="2" t="s">
        <v>161</v>
      </c>
      <c r="Q34" s="3">
        <v>1266</v>
      </c>
      <c r="R34" s="3">
        <v>24100</v>
      </c>
      <c r="S34" s="3">
        <f t="shared" si="0"/>
        <v>25366</v>
      </c>
      <c r="T34" s="3"/>
      <c r="U34" s="2"/>
      <c r="V34" s="2">
        <f t="shared" si="1"/>
        <v>26</v>
      </c>
      <c r="W34" s="2">
        <v>6.1000000000000004E-3</v>
      </c>
      <c r="X34" s="2"/>
      <c r="Y34" s="2"/>
      <c r="Z34" s="2"/>
      <c r="AA34" s="2"/>
      <c r="AB34" s="2"/>
      <c r="AC34" s="2"/>
      <c r="AD34" s="2"/>
      <c r="AE34" s="9" t="s">
        <v>219</v>
      </c>
      <c r="AF34" s="2"/>
      <c r="AG34" s="2"/>
    </row>
    <row r="35" spans="1:33" x14ac:dyDescent="0.25">
      <c r="A35" s="14">
        <f t="shared" si="2"/>
        <v>33</v>
      </c>
      <c r="B35" s="45" t="s">
        <v>51</v>
      </c>
      <c r="C35" s="2" t="s">
        <v>100</v>
      </c>
      <c r="D35" s="2" t="s">
        <v>66</v>
      </c>
      <c r="E35" s="2" t="s">
        <v>63</v>
      </c>
      <c r="F35" s="2"/>
      <c r="G35" s="2"/>
      <c r="H35" s="22"/>
      <c r="I35" s="2">
        <v>0</v>
      </c>
      <c r="J35" s="2">
        <v>0</v>
      </c>
      <c r="K35" s="2"/>
      <c r="L35" s="2"/>
      <c r="M35" s="2"/>
      <c r="N35" s="31"/>
      <c r="O35" s="2" t="s">
        <v>39</v>
      </c>
      <c r="P35" s="2" t="s">
        <v>164</v>
      </c>
      <c r="Q35" s="3">
        <v>535800</v>
      </c>
      <c r="R35" s="3">
        <f>202200*12</f>
        <v>2426400</v>
      </c>
      <c r="S35" s="3">
        <f t="shared" ref="S35:S59" si="3">Q35+R35</f>
        <v>2962200</v>
      </c>
      <c r="T35" s="3"/>
      <c r="U35" s="2"/>
      <c r="V35" s="2">
        <f t="shared" ref="V35:V60" si="4">VLOOKUP(B35,Overall_Rank,2,)</f>
        <v>54</v>
      </c>
      <c r="W35" s="2"/>
      <c r="X35" s="2"/>
      <c r="Y35" s="2"/>
      <c r="Z35" s="2"/>
      <c r="AA35" s="2"/>
      <c r="AB35" s="2"/>
      <c r="AC35" s="2"/>
      <c r="AD35" s="2"/>
      <c r="AE35" s="9" t="s">
        <v>219</v>
      </c>
      <c r="AF35" s="2"/>
      <c r="AG35" s="2"/>
    </row>
    <row r="36" spans="1:33" x14ac:dyDescent="0.25">
      <c r="A36" s="14">
        <f t="shared" si="2"/>
        <v>34</v>
      </c>
      <c r="B36" s="45" t="s">
        <v>52</v>
      </c>
      <c r="C36" s="2" t="s">
        <v>62</v>
      </c>
      <c r="D36" s="2" t="s">
        <v>66</v>
      </c>
      <c r="E36" s="2" t="s">
        <v>63</v>
      </c>
      <c r="F36" s="2"/>
      <c r="G36" s="2"/>
      <c r="H36" s="22"/>
      <c r="I36" s="2">
        <v>0</v>
      </c>
      <c r="J36" s="2">
        <v>0</v>
      </c>
      <c r="K36" s="2"/>
      <c r="L36" s="2"/>
      <c r="M36" s="2"/>
      <c r="N36" s="31"/>
      <c r="O36" s="2" t="s">
        <v>39</v>
      </c>
      <c r="P36" s="2" t="s">
        <v>164</v>
      </c>
      <c r="Q36" s="3">
        <v>535800</v>
      </c>
      <c r="R36" s="3">
        <f>R32 * 0.87</f>
        <v>2110968</v>
      </c>
      <c r="S36" s="3">
        <f t="shared" si="3"/>
        <v>2646768</v>
      </c>
      <c r="T36" s="3"/>
      <c r="U36" s="2"/>
      <c r="V36" s="2">
        <f t="shared" si="4"/>
        <v>53</v>
      </c>
      <c r="W36" s="2"/>
      <c r="X36" s="2"/>
      <c r="Y36" s="2"/>
      <c r="Z36" s="2"/>
      <c r="AA36" s="2"/>
      <c r="AB36" s="2"/>
      <c r="AC36" s="2"/>
      <c r="AD36" s="2"/>
      <c r="AE36" s="9" t="s">
        <v>210</v>
      </c>
      <c r="AF36" s="2"/>
      <c r="AG36" s="2"/>
    </row>
    <row r="37" spans="1:33" x14ac:dyDescent="0.25">
      <c r="A37" s="14">
        <f t="shared" si="2"/>
        <v>35</v>
      </c>
      <c r="B37" s="2" t="s">
        <v>53</v>
      </c>
      <c r="C37" s="2" t="s">
        <v>103</v>
      </c>
      <c r="D37" s="2" t="s">
        <v>66</v>
      </c>
      <c r="E37" s="2" t="s">
        <v>104</v>
      </c>
      <c r="F37" s="2"/>
      <c r="G37" s="2"/>
      <c r="H37" s="22"/>
      <c r="I37" s="2"/>
      <c r="J37" s="2">
        <v>0</v>
      </c>
      <c r="K37" s="2">
        <v>1</v>
      </c>
      <c r="L37" s="16">
        <v>43555</v>
      </c>
      <c r="M37" s="16">
        <v>43616</v>
      </c>
      <c r="N37" s="31" t="s">
        <v>299</v>
      </c>
      <c r="O37" s="2" t="s">
        <v>39</v>
      </c>
      <c r="P37" s="2" t="s">
        <v>169</v>
      </c>
      <c r="Q37" s="3">
        <f>(67.4+62)*4</f>
        <v>517.6</v>
      </c>
      <c r="R37" s="3">
        <v>12000</v>
      </c>
      <c r="S37" s="3">
        <f t="shared" si="3"/>
        <v>12517.6</v>
      </c>
      <c r="T37" s="3"/>
      <c r="U37" s="2"/>
      <c r="V37" s="2">
        <f t="shared" si="4"/>
        <v>42</v>
      </c>
      <c r="W37" s="2">
        <v>7.85E-2</v>
      </c>
      <c r="X37" s="2"/>
      <c r="Y37" s="2"/>
      <c r="Z37" s="2"/>
      <c r="AA37" s="2"/>
      <c r="AB37" s="2"/>
      <c r="AC37" s="2"/>
      <c r="AD37" s="2"/>
      <c r="AE37" s="9" t="s">
        <v>219</v>
      </c>
      <c r="AF37" s="2"/>
      <c r="AG37" s="2"/>
    </row>
    <row r="38" spans="1:33" x14ac:dyDescent="0.25">
      <c r="A38" s="14">
        <f t="shared" si="2"/>
        <v>36</v>
      </c>
      <c r="B38" s="2" t="s">
        <v>80</v>
      </c>
      <c r="C38" s="2" t="s">
        <v>105</v>
      </c>
      <c r="D38" s="2" t="s">
        <v>58</v>
      </c>
      <c r="E38" s="2" t="s">
        <v>56</v>
      </c>
      <c r="F38" s="2">
        <v>60</v>
      </c>
      <c r="G38" s="2"/>
      <c r="H38" s="22"/>
      <c r="I38" s="2"/>
      <c r="J38" s="2">
        <v>1</v>
      </c>
      <c r="K38" s="2"/>
      <c r="L38" s="16">
        <v>43422</v>
      </c>
      <c r="M38" s="16">
        <v>43539</v>
      </c>
      <c r="N38" s="31">
        <v>100</v>
      </c>
      <c r="O38" s="2" t="s">
        <v>39</v>
      </c>
      <c r="P38" s="2" t="s">
        <v>160</v>
      </c>
      <c r="Q38" s="3">
        <v>55687</v>
      </c>
      <c r="R38" s="3">
        <v>17212</v>
      </c>
      <c r="S38" s="3">
        <f t="shared" si="3"/>
        <v>72899</v>
      </c>
      <c r="T38" s="3"/>
      <c r="U38" s="2"/>
      <c r="V38" s="2">
        <f t="shared" si="4"/>
        <v>13</v>
      </c>
      <c r="W38" s="2">
        <v>0.24990000000000001</v>
      </c>
      <c r="X38" s="2">
        <v>10.199999999999999</v>
      </c>
      <c r="Y38" s="2"/>
      <c r="Z38" s="2"/>
      <c r="AA38" s="2"/>
      <c r="AB38" s="2"/>
      <c r="AC38" s="2"/>
      <c r="AD38" s="2"/>
      <c r="AE38" s="9" t="s">
        <v>210</v>
      </c>
      <c r="AF38" s="2"/>
      <c r="AG38" s="2"/>
    </row>
    <row r="39" spans="1:33" x14ac:dyDescent="0.25">
      <c r="A39" s="14">
        <f t="shared" si="2"/>
        <v>37</v>
      </c>
      <c r="B39" s="47" t="s">
        <v>412</v>
      </c>
      <c r="C39" s="2" t="s">
        <v>130</v>
      </c>
      <c r="D39" s="2" t="s">
        <v>129</v>
      </c>
      <c r="E39" s="2" t="s">
        <v>56</v>
      </c>
      <c r="F39" s="2"/>
      <c r="G39" s="2"/>
      <c r="H39" s="22"/>
      <c r="I39" s="2"/>
      <c r="J39" s="2">
        <v>1</v>
      </c>
      <c r="K39" s="2"/>
      <c r="L39" s="2"/>
      <c r="M39" s="16">
        <v>43449</v>
      </c>
      <c r="N39" s="31">
        <v>100</v>
      </c>
      <c r="O39" s="2" t="s">
        <v>39</v>
      </c>
      <c r="P39" s="2" t="s">
        <v>160</v>
      </c>
      <c r="Q39" s="3">
        <v>29498</v>
      </c>
      <c r="R39" s="3">
        <v>15004</v>
      </c>
      <c r="S39" s="3">
        <f t="shared" si="3"/>
        <v>44502</v>
      </c>
      <c r="T39" s="3"/>
      <c r="U39" s="2"/>
      <c r="V39" s="2">
        <f t="shared" si="4"/>
        <v>22</v>
      </c>
      <c r="W39" s="2">
        <v>0.99529999999999996</v>
      </c>
      <c r="X39" s="2">
        <v>44.9</v>
      </c>
      <c r="Y39" s="2"/>
      <c r="Z39" s="2"/>
      <c r="AA39" s="2"/>
      <c r="AB39" s="2"/>
      <c r="AC39" s="2"/>
      <c r="AD39" s="2"/>
      <c r="AE39" s="9" t="s">
        <v>228</v>
      </c>
      <c r="AF39" s="2"/>
      <c r="AG39" s="2"/>
    </row>
    <row r="40" spans="1:33" x14ac:dyDescent="0.25">
      <c r="A40" s="14">
        <f t="shared" si="2"/>
        <v>38</v>
      </c>
      <c r="B40" s="2" t="s">
        <v>407</v>
      </c>
      <c r="C40" s="2" t="s">
        <v>134</v>
      </c>
      <c r="D40" s="2" t="s">
        <v>133</v>
      </c>
      <c r="E40" s="2" t="s">
        <v>56</v>
      </c>
      <c r="F40" s="2"/>
      <c r="G40" s="2"/>
      <c r="H40" s="22"/>
      <c r="I40" s="2"/>
      <c r="J40" s="2">
        <v>1</v>
      </c>
      <c r="K40" s="2"/>
      <c r="L40" s="54" t="s">
        <v>298</v>
      </c>
      <c r="M40" s="55"/>
      <c r="N40" s="32"/>
      <c r="O40" s="2" t="s">
        <v>39</v>
      </c>
      <c r="P40" s="2" t="s">
        <v>160</v>
      </c>
      <c r="Q40" s="3">
        <v>25359</v>
      </c>
      <c r="R40" s="3">
        <v>14272</v>
      </c>
      <c r="S40" s="3">
        <f t="shared" si="3"/>
        <v>39631</v>
      </c>
      <c r="T40" s="3"/>
      <c r="U40" s="2"/>
      <c r="V40" s="2">
        <f t="shared" si="4"/>
        <v>23</v>
      </c>
      <c r="W40" s="2">
        <v>3.2000000000000001E-2</v>
      </c>
      <c r="X40" s="2">
        <v>57.6</v>
      </c>
      <c r="Y40" s="2"/>
      <c r="Z40" s="2"/>
      <c r="AA40" s="2"/>
      <c r="AB40" s="2"/>
      <c r="AC40" s="2"/>
      <c r="AD40" s="2"/>
      <c r="AE40" s="9" t="s">
        <v>222</v>
      </c>
      <c r="AF40" s="2"/>
      <c r="AG40" s="2"/>
    </row>
    <row r="41" spans="1:33" x14ac:dyDescent="0.25">
      <c r="A41" s="14">
        <f t="shared" si="2"/>
        <v>39</v>
      </c>
      <c r="B41" s="46" t="s">
        <v>110</v>
      </c>
      <c r="C41" s="2" t="s">
        <v>140</v>
      </c>
      <c r="D41" s="2" t="s">
        <v>139</v>
      </c>
      <c r="E41" s="2" t="s">
        <v>56</v>
      </c>
      <c r="F41" s="2"/>
      <c r="G41" s="2"/>
      <c r="H41" s="22"/>
      <c r="I41" s="2"/>
      <c r="J41" s="2">
        <v>1</v>
      </c>
      <c r="K41" s="2"/>
      <c r="L41" s="2"/>
      <c r="M41" s="16">
        <v>43539</v>
      </c>
      <c r="N41" s="31">
        <v>105</v>
      </c>
      <c r="O41" s="2" t="s">
        <v>39</v>
      </c>
      <c r="P41" s="2" t="s">
        <v>160</v>
      </c>
      <c r="Q41" s="3">
        <v>55340</v>
      </c>
      <c r="R41" s="3">
        <v>16969</v>
      </c>
      <c r="S41" s="3">
        <f t="shared" si="3"/>
        <v>72309</v>
      </c>
      <c r="T41" s="3"/>
      <c r="U41" s="2"/>
      <c r="V41" s="2">
        <f t="shared" si="4"/>
        <v>39</v>
      </c>
      <c r="W41" s="2">
        <v>2.5700000000000001E-2</v>
      </c>
      <c r="X41" s="2">
        <v>9.5</v>
      </c>
      <c r="Y41" s="2"/>
      <c r="Z41" s="2"/>
      <c r="AA41" s="2"/>
      <c r="AB41" s="2"/>
      <c r="AC41" s="2"/>
      <c r="AD41" s="2"/>
      <c r="AE41" s="9" t="s">
        <v>219</v>
      </c>
      <c r="AF41" s="2"/>
      <c r="AG41" s="2"/>
    </row>
    <row r="42" spans="1:33" x14ac:dyDescent="0.25">
      <c r="A42" s="14">
        <f t="shared" ref="A42:A60" si="5">A41+1</f>
        <v>40</v>
      </c>
      <c r="B42" s="2" t="s">
        <v>439</v>
      </c>
      <c r="C42" s="2" t="s">
        <v>131</v>
      </c>
      <c r="D42" s="2" t="s">
        <v>95</v>
      </c>
      <c r="E42" s="2" t="s">
        <v>56</v>
      </c>
      <c r="F42" s="2">
        <v>50</v>
      </c>
      <c r="G42" s="2"/>
      <c r="H42" s="22" t="s">
        <v>278</v>
      </c>
      <c r="I42" s="2"/>
      <c r="J42" s="2">
        <v>1</v>
      </c>
      <c r="K42" s="2"/>
      <c r="L42" s="2"/>
      <c r="M42" s="16">
        <v>43480</v>
      </c>
      <c r="N42" s="31">
        <v>80</v>
      </c>
      <c r="O42" s="2" t="s">
        <v>39</v>
      </c>
      <c r="P42" s="2" t="s">
        <v>160</v>
      </c>
      <c r="Q42" s="3">
        <v>29084</v>
      </c>
      <c r="R42" s="3">
        <v>20822</v>
      </c>
      <c r="S42" s="3">
        <f t="shared" si="3"/>
        <v>49906</v>
      </c>
      <c r="T42" s="3"/>
      <c r="U42" s="2"/>
      <c r="V42" s="2">
        <f t="shared" si="4"/>
        <v>40</v>
      </c>
      <c r="W42" s="2">
        <v>2.5100000000000001E-2</v>
      </c>
      <c r="X42" s="2">
        <v>38</v>
      </c>
      <c r="Y42" s="2"/>
      <c r="Z42" s="2"/>
      <c r="AA42" s="2"/>
      <c r="AB42" s="2"/>
      <c r="AC42" s="2"/>
      <c r="AD42" s="2" t="s">
        <v>337</v>
      </c>
      <c r="AE42" s="9" t="s">
        <v>218</v>
      </c>
      <c r="AF42" s="2"/>
      <c r="AG42" s="2"/>
    </row>
    <row r="43" spans="1:33" x14ac:dyDescent="0.25">
      <c r="A43" s="14">
        <f t="shared" si="5"/>
        <v>41</v>
      </c>
      <c r="B43" s="48" t="s">
        <v>112</v>
      </c>
      <c r="C43" s="2" t="s">
        <v>135</v>
      </c>
      <c r="D43" s="2" t="s">
        <v>61</v>
      </c>
      <c r="E43" s="2" t="s">
        <v>56</v>
      </c>
      <c r="F43" s="2"/>
      <c r="G43" s="2"/>
      <c r="H43" s="22"/>
      <c r="I43" s="2"/>
      <c r="J43" s="2">
        <v>1</v>
      </c>
      <c r="K43" s="2"/>
      <c r="L43" s="2"/>
      <c r="M43" s="16">
        <v>43814</v>
      </c>
      <c r="N43" s="31">
        <v>80</v>
      </c>
      <c r="O43" s="2" t="s">
        <v>39</v>
      </c>
      <c r="P43" s="2" t="s">
        <v>160</v>
      </c>
      <c r="Q43" s="3">
        <v>28345</v>
      </c>
      <c r="R43" s="3">
        <v>14029</v>
      </c>
      <c r="S43" s="3">
        <f t="shared" si="3"/>
        <v>42374</v>
      </c>
      <c r="T43" s="3"/>
      <c r="U43" s="2"/>
      <c r="V43" s="2">
        <f t="shared" si="4"/>
        <v>41</v>
      </c>
      <c r="W43" s="2">
        <v>5.1999999999999998E-3</v>
      </c>
      <c r="X43" s="2">
        <v>58.3</v>
      </c>
      <c r="Y43" s="2"/>
      <c r="Z43" s="2"/>
      <c r="AA43" s="2"/>
      <c r="AB43" s="2"/>
      <c r="AC43" s="2"/>
      <c r="AD43" s="2" t="s">
        <v>212</v>
      </c>
      <c r="AE43" s="9" t="s">
        <v>228</v>
      </c>
      <c r="AF43" s="2"/>
      <c r="AG43" s="2" t="s">
        <v>338</v>
      </c>
    </row>
    <row r="44" spans="1:33" x14ac:dyDescent="0.25">
      <c r="A44" s="14">
        <f t="shared" si="5"/>
        <v>42</v>
      </c>
      <c r="B44" s="2" t="s">
        <v>429</v>
      </c>
      <c r="C44" s="2" t="s">
        <v>132</v>
      </c>
      <c r="D44" s="2" t="s">
        <v>71</v>
      </c>
      <c r="E44" s="2" t="s">
        <v>56</v>
      </c>
      <c r="F44" s="2"/>
      <c r="G44" s="2"/>
      <c r="H44" s="22"/>
      <c r="I44" s="2"/>
      <c r="J44" s="2">
        <v>1</v>
      </c>
      <c r="K44" s="2">
        <v>1</v>
      </c>
      <c r="L44" s="2"/>
      <c r="M44" s="25" t="s">
        <v>339</v>
      </c>
      <c r="N44" s="2"/>
      <c r="O44" s="2" t="s">
        <v>39</v>
      </c>
      <c r="P44" s="2" t="s">
        <v>160</v>
      </c>
      <c r="Q44" s="3">
        <v>35273</v>
      </c>
      <c r="R44" s="3">
        <v>15306</v>
      </c>
      <c r="S44" s="3">
        <f t="shared" si="3"/>
        <v>50579</v>
      </c>
      <c r="T44" s="3"/>
      <c r="U44" s="2"/>
      <c r="V44" s="2">
        <f t="shared" si="4"/>
        <v>43</v>
      </c>
      <c r="W44" s="2">
        <v>9.5299999999999996E-2</v>
      </c>
      <c r="X44" s="2">
        <v>30.5</v>
      </c>
      <c r="Y44" s="2"/>
      <c r="Z44" s="2"/>
      <c r="AA44" s="2"/>
      <c r="AB44" s="2"/>
      <c r="AC44" s="2"/>
      <c r="AD44" s="2"/>
      <c r="AE44" s="9" t="s">
        <v>208</v>
      </c>
      <c r="AF44" s="2"/>
      <c r="AG44" s="2"/>
    </row>
    <row r="45" spans="1:33" x14ac:dyDescent="0.25">
      <c r="A45" s="14">
        <f t="shared" si="5"/>
        <v>43</v>
      </c>
      <c r="B45" s="42" t="s">
        <v>114</v>
      </c>
      <c r="C45" s="2" t="s">
        <v>142</v>
      </c>
      <c r="D45" s="2" t="s">
        <v>138</v>
      </c>
      <c r="E45" s="2" t="s">
        <v>56</v>
      </c>
      <c r="F45" s="2"/>
      <c r="G45" s="2"/>
      <c r="H45" s="22"/>
      <c r="I45" s="2"/>
      <c r="J45" s="2">
        <v>0</v>
      </c>
      <c r="K45" s="2">
        <v>1</v>
      </c>
      <c r="L45" s="16">
        <v>43465</v>
      </c>
      <c r="M45" s="16">
        <v>43480</v>
      </c>
      <c r="N45" s="31">
        <v>80</v>
      </c>
      <c r="O45" s="2" t="s">
        <v>39</v>
      </c>
      <c r="P45" s="2" t="s">
        <v>160</v>
      </c>
      <c r="Q45" s="3">
        <v>35633</v>
      </c>
      <c r="R45" s="3">
        <v>13766</v>
      </c>
      <c r="S45" s="3">
        <f t="shared" si="3"/>
        <v>49399</v>
      </c>
      <c r="T45" s="3"/>
      <c r="U45" s="2"/>
      <c r="V45" s="2">
        <f t="shared" si="4"/>
        <v>52</v>
      </c>
      <c r="W45" s="2">
        <v>1.06E-2</v>
      </c>
      <c r="X45" s="2">
        <v>66.3</v>
      </c>
      <c r="Y45" s="2"/>
      <c r="Z45" s="2"/>
      <c r="AA45" s="2"/>
      <c r="AB45" s="2"/>
      <c r="AC45" s="2"/>
      <c r="AD45" s="2"/>
      <c r="AE45" s="9" t="s">
        <v>228</v>
      </c>
      <c r="AF45" s="2"/>
      <c r="AG45" s="2" t="s">
        <v>340</v>
      </c>
    </row>
    <row r="46" spans="1:33" x14ac:dyDescent="0.25">
      <c r="A46" s="14">
        <f t="shared" si="5"/>
        <v>44</v>
      </c>
      <c r="B46" s="46" t="s">
        <v>115</v>
      </c>
      <c r="C46" s="2" t="s">
        <v>143</v>
      </c>
      <c r="D46" s="2" t="s">
        <v>83</v>
      </c>
      <c r="E46" s="2" t="s">
        <v>56</v>
      </c>
      <c r="F46" s="2"/>
      <c r="G46" s="2"/>
      <c r="H46" s="22" t="s">
        <v>269</v>
      </c>
      <c r="I46" s="2"/>
      <c r="J46" s="2">
        <v>0</v>
      </c>
      <c r="K46" s="2"/>
      <c r="L46" s="2"/>
      <c r="M46" s="16">
        <v>43495</v>
      </c>
      <c r="N46" s="31">
        <v>90</v>
      </c>
      <c r="O46" s="2" t="s">
        <v>39</v>
      </c>
      <c r="P46" s="2" t="s">
        <v>160</v>
      </c>
      <c r="Q46" s="3">
        <v>40635</v>
      </c>
      <c r="R46" s="3">
        <v>16919</v>
      </c>
      <c r="S46" s="3">
        <f t="shared" si="3"/>
        <v>57554</v>
      </c>
      <c r="T46" s="3"/>
      <c r="U46" s="2"/>
      <c r="V46" s="2">
        <f t="shared" si="4"/>
        <v>48</v>
      </c>
      <c r="W46" s="2">
        <v>0.12280000000000001</v>
      </c>
      <c r="X46" s="2">
        <v>16</v>
      </c>
      <c r="Y46" s="2"/>
      <c r="Z46" s="2"/>
      <c r="AA46" s="2"/>
      <c r="AB46" s="2"/>
      <c r="AC46" s="2"/>
      <c r="AD46" s="2"/>
      <c r="AE46" s="9" t="s">
        <v>210</v>
      </c>
      <c r="AF46" s="2"/>
      <c r="AG46" s="2" t="s">
        <v>342</v>
      </c>
    </row>
    <row r="47" spans="1:33" x14ac:dyDescent="0.25">
      <c r="A47" s="14">
        <f t="shared" si="5"/>
        <v>45</v>
      </c>
      <c r="B47" s="2" t="s">
        <v>452</v>
      </c>
      <c r="C47" s="2" t="s">
        <v>92</v>
      </c>
      <c r="D47" s="2" t="s">
        <v>74</v>
      </c>
      <c r="E47" s="2" t="s">
        <v>56</v>
      </c>
      <c r="F47" s="2"/>
      <c r="G47" s="2"/>
      <c r="H47" s="22"/>
      <c r="I47" s="2"/>
      <c r="J47" s="2">
        <v>1</v>
      </c>
      <c r="K47" s="2">
        <v>1</v>
      </c>
      <c r="L47" s="16">
        <v>43480</v>
      </c>
      <c r="M47" s="16">
        <v>43497</v>
      </c>
      <c r="N47" s="31">
        <v>80</v>
      </c>
      <c r="O47" s="2" t="s">
        <v>39</v>
      </c>
      <c r="P47" s="2" t="s">
        <v>160</v>
      </c>
      <c r="Q47" s="3">
        <v>28524</v>
      </c>
      <c r="R47" s="3">
        <v>16169</v>
      </c>
      <c r="S47" s="3">
        <f t="shared" si="3"/>
        <v>44693</v>
      </c>
      <c r="T47" s="3"/>
      <c r="U47" s="2"/>
      <c r="V47" s="2">
        <f t="shared" si="4"/>
        <v>47</v>
      </c>
      <c r="W47" s="2">
        <v>0.31369999999999998</v>
      </c>
      <c r="X47" s="2">
        <v>76.599999999999994</v>
      </c>
      <c r="Y47" s="2"/>
      <c r="Z47" s="2"/>
      <c r="AA47" s="2"/>
      <c r="AB47" s="2"/>
      <c r="AC47" s="2"/>
      <c r="AD47" s="2" t="s">
        <v>343</v>
      </c>
      <c r="AE47" s="9" t="s">
        <v>225</v>
      </c>
      <c r="AF47" s="2"/>
      <c r="AG47" s="2"/>
    </row>
    <row r="48" spans="1:33" x14ac:dyDescent="0.25">
      <c r="A48" s="14">
        <f t="shared" si="5"/>
        <v>46</v>
      </c>
      <c r="B48" s="42" t="s">
        <v>117</v>
      </c>
      <c r="C48" s="2" t="s">
        <v>141</v>
      </c>
      <c r="D48" s="2" t="s">
        <v>146</v>
      </c>
      <c r="E48" s="2" t="s">
        <v>56</v>
      </c>
      <c r="F48" s="2"/>
      <c r="G48" s="2"/>
      <c r="H48" s="22" t="s">
        <v>264</v>
      </c>
      <c r="I48" s="2"/>
      <c r="J48" s="2">
        <v>0</v>
      </c>
      <c r="K48" s="2"/>
      <c r="L48" s="2"/>
      <c r="M48" s="16">
        <v>43449</v>
      </c>
      <c r="N48" s="31">
        <v>108</v>
      </c>
      <c r="O48" s="2" t="s">
        <v>39</v>
      </c>
      <c r="P48" s="2" t="s">
        <v>160</v>
      </c>
      <c r="Q48" s="3">
        <v>50723</v>
      </c>
      <c r="R48" s="3">
        <v>18520</v>
      </c>
      <c r="S48" s="3">
        <f t="shared" si="3"/>
        <v>69243</v>
      </c>
      <c r="T48" s="3"/>
      <c r="U48" s="2"/>
      <c r="V48" s="2">
        <f t="shared" si="4"/>
        <v>16</v>
      </c>
      <c r="W48" s="2">
        <v>0.11890000000000001</v>
      </c>
      <c r="X48" s="2">
        <v>7.1</v>
      </c>
      <c r="Y48" s="2"/>
      <c r="Z48" s="2"/>
      <c r="AA48" s="2"/>
      <c r="AB48" s="2"/>
      <c r="AC48" s="2"/>
      <c r="AD48" s="2" t="s">
        <v>658</v>
      </c>
      <c r="AE48" s="9" t="s">
        <v>231</v>
      </c>
      <c r="AF48" s="2"/>
      <c r="AG48" s="2" t="s">
        <v>656</v>
      </c>
    </row>
    <row r="49" spans="1:33" x14ac:dyDescent="0.25">
      <c r="A49" s="14">
        <f t="shared" si="5"/>
        <v>47</v>
      </c>
      <c r="B49" s="2" t="s">
        <v>410</v>
      </c>
      <c r="C49" s="2" t="s">
        <v>144</v>
      </c>
      <c r="D49" s="2" t="s">
        <v>95</v>
      </c>
      <c r="E49" s="2" t="s">
        <v>56</v>
      </c>
      <c r="F49" s="2"/>
      <c r="G49" s="2"/>
      <c r="H49" s="22"/>
      <c r="I49" s="2"/>
      <c r="J49" s="2">
        <v>1</v>
      </c>
      <c r="K49" s="2"/>
      <c r="L49" s="2"/>
      <c r="M49" s="16">
        <v>43435</v>
      </c>
      <c r="N49" s="31">
        <v>87</v>
      </c>
      <c r="O49" s="2" t="s">
        <v>39</v>
      </c>
      <c r="P49" s="2" t="s">
        <v>160</v>
      </c>
      <c r="Q49" s="3">
        <v>28429</v>
      </c>
      <c r="R49" s="3">
        <v>19438</v>
      </c>
      <c r="S49" s="3">
        <f t="shared" si="3"/>
        <v>47867</v>
      </c>
      <c r="T49" s="3"/>
      <c r="U49" s="2"/>
      <c r="V49" s="2">
        <f t="shared" si="4"/>
        <v>12</v>
      </c>
      <c r="W49" s="2">
        <v>0.3135</v>
      </c>
      <c r="X49" s="2">
        <v>17.3</v>
      </c>
      <c r="Y49" s="2"/>
      <c r="Z49" s="2"/>
      <c r="AA49" s="2"/>
      <c r="AB49" s="2"/>
      <c r="AC49" s="2"/>
      <c r="AD49" s="2"/>
      <c r="AE49" s="9" t="s">
        <v>223</v>
      </c>
      <c r="AF49" s="2"/>
      <c r="AG49" s="2"/>
    </row>
    <row r="50" spans="1:33" x14ac:dyDescent="0.25">
      <c r="A50" s="14">
        <f t="shared" si="5"/>
        <v>48</v>
      </c>
      <c r="B50" s="48" t="s">
        <v>119</v>
      </c>
      <c r="C50" s="2" t="s">
        <v>147</v>
      </c>
      <c r="D50" s="2" t="s">
        <v>136</v>
      </c>
      <c r="E50" s="2" t="s">
        <v>56</v>
      </c>
      <c r="F50" s="2"/>
      <c r="G50" s="2"/>
      <c r="H50" s="22"/>
      <c r="I50" s="2"/>
      <c r="J50" s="2">
        <v>1</v>
      </c>
      <c r="K50" s="2"/>
      <c r="L50" s="2"/>
      <c r="M50" s="16">
        <v>43647</v>
      </c>
      <c r="N50" s="31"/>
      <c r="O50" s="2" t="s">
        <v>39</v>
      </c>
      <c r="P50" s="2" t="s">
        <v>160</v>
      </c>
      <c r="Q50" s="3">
        <v>28326</v>
      </c>
      <c r="R50" s="3">
        <v>15235</v>
      </c>
      <c r="S50" s="3">
        <f t="shared" si="3"/>
        <v>43561</v>
      </c>
      <c r="T50" s="3"/>
      <c r="U50" s="2"/>
      <c r="V50" s="2">
        <f t="shared" si="4"/>
        <v>10</v>
      </c>
      <c r="W50" s="2">
        <v>0.96409999999999996</v>
      </c>
      <c r="X50" s="2">
        <v>53.3</v>
      </c>
      <c r="Y50" s="2"/>
      <c r="Z50" s="2"/>
      <c r="AA50" s="2"/>
      <c r="AB50" s="2"/>
      <c r="AC50" s="2"/>
      <c r="AD50" s="2"/>
      <c r="AE50" s="9" t="s">
        <v>228</v>
      </c>
      <c r="AF50" s="2"/>
      <c r="AG50" s="2" t="s">
        <v>347</v>
      </c>
    </row>
    <row r="51" spans="1:33" x14ac:dyDescent="0.25">
      <c r="A51" s="14">
        <f t="shared" si="5"/>
        <v>49</v>
      </c>
      <c r="B51" s="2" t="s">
        <v>120</v>
      </c>
      <c r="C51" s="2" t="s">
        <v>148</v>
      </c>
      <c r="D51" s="2" t="s">
        <v>69</v>
      </c>
      <c r="E51" s="2" t="s">
        <v>56</v>
      </c>
      <c r="F51" s="2"/>
      <c r="G51" s="2"/>
      <c r="H51" s="22"/>
      <c r="I51" s="2"/>
      <c r="J51" s="2">
        <v>0</v>
      </c>
      <c r="K51" s="2"/>
      <c r="L51" s="2"/>
      <c r="M51" s="16">
        <v>43497</v>
      </c>
      <c r="N51" s="31"/>
      <c r="O51" s="2" t="s">
        <v>39</v>
      </c>
      <c r="P51" s="2" t="s">
        <v>160</v>
      </c>
      <c r="Q51" s="3">
        <v>29585</v>
      </c>
      <c r="R51" s="3">
        <v>17365</v>
      </c>
      <c r="S51" s="3">
        <f t="shared" si="3"/>
        <v>46950</v>
      </c>
      <c r="T51" s="3"/>
      <c r="U51" s="2"/>
      <c r="V51" s="2">
        <f t="shared" si="4"/>
        <v>5</v>
      </c>
      <c r="W51" s="2">
        <v>5.0000000000000001E-3</v>
      </c>
      <c r="X51" s="2">
        <v>15.1</v>
      </c>
      <c r="Y51" s="2"/>
      <c r="Z51" s="2"/>
      <c r="AA51" s="2"/>
      <c r="AB51" s="2"/>
      <c r="AC51" s="2"/>
      <c r="AD51" s="2"/>
      <c r="AE51" s="9" t="s">
        <v>232</v>
      </c>
      <c r="AF51" s="2"/>
      <c r="AG51" s="2" t="s">
        <v>657</v>
      </c>
    </row>
    <row r="52" spans="1:33" x14ac:dyDescent="0.25">
      <c r="A52" s="14">
        <f t="shared" si="5"/>
        <v>50</v>
      </c>
      <c r="B52" s="2" t="s">
        <v>121</v>
      </c>
      <c r="C52" s="2" t="s">
        <v>137</v>
      </c>
      <c r="D52" s="2" t="s">
        <v>83</v>
      </c>
      <c r="E52" s="2" t="s">
        <v>56</v>
      </c>
      <c r="F52" s="2"/>
      <c r="G52" s="2"/>
      <c r="H52" s="22"/>
      <c r="I52" s="2"/>
      <c r="J52" s="2">
        <v>1</v>
      </c>
      <c r="K52" s="2"/>
      <c r="L52" s="2"/>
      <c r="M52" s="16">
        <v>43449</v>
      </c>
      <c r="N52" s="31"/>
      <c r="O52" s="2" t="s">
        <v>39</v>
      </c>
      <c r="P52" s="2" t="s">
        <v>160</v>
      </c>
      <c r="Q52" s="3">
        <v>37838</v>
      </c>
      <c r="R52" s="3">
        <v>14380</v>
      </c>
      <c r="S52" s="3">
        <f t="shared" si="3"/>
        <v>52218</v>
      </c>
      <c r="T52" s="3"/>
      <c r="U52" s="2"/>
      <c r="V52" s="2">
        <f t="shared" si="4"/>
        <v>14</v>
      </c>
      <c r="W52" s="2">
        <v>0.3029</v>
      </c>
      <c r="X52" s="2">
        <v>39.200000000000003</v>
      </c>
      <c r="Y52" s="2"/>
      <c r="Z52" s="2"/>
      <c r="AA52" s="2"/>
      <c r="AB52" s="2"/>
      <c r="AC52" s="2"/>
      <c r="AD52" s="2"/>
      <c r="AE52" s="9" t="s">
        <v>222</v>
      </c>
      <c r="AF52" s="2"/>
      <c r="AG52" s="2"/>
    </row>
    <row r="53" spans="1:33" x14ac:dyDescent="0.25">
      <c r="A53" s="14">
        <f t="shared" si="5"/>
        <v>51</v>
      </c>
      <c r="B53" s="2" t="s">
        <v>122</v>
      </c>
      <c r="C53" s="2" t="s">
        <v>66</v>
      </c>
      <c r="D53" s="2" t="s">
        <v>74</v>
      </c>
      <c r="E53" s="2" t="s">
        <v>56</v>
      </c>
      <c r="F53" s="2"/>
      <c r="G53" s="2"/>
      <c r="H53" s="22"/>
      <c r="I53" s="2"/>
      <c r="J53" s="2">
        <v>1</v>
      </c>
      <c r="K53" s="2"/>
      <c r="L53" s="54" t="s">
        <v>298</v>
      </c>
      <c r="M53" s="55"/>
      <c r="N53" s="31"/>
      <c r="O53" s="2" t="s">
        <v>39</v>
      </c>
      <c r="P53" s="2" t="s">
        <v>160</v>
      </c>
      <c r="Q53" s="3">
        <v>32096</v>
      </c>
      <c r="R53" s="3">
        <v>13810</v>
      </c>
      <c r="S53" s="3">
        <f t="shared" si="3"/>
        <v>45906</v>
      </c>
      <c r="T53" s="3"/>
      <c r="U53" s="2"/>
      <c r="V53" s="2">
        <f t="shared" si="4"/>
        <v>11</v>
      </c>
      <c r="W53" s="2">
        <v>5.4000000000000003E-3</v>
      </c>
      <c r="X53" s="2">
        <v>65.599999999999994</v>
      </c>
      <c r="Y53" s="2"/>
      <c r="Z53" s="2"/>
      <c r="AA53" s="2"/>
      <c r="AB53" s="2"/>
      <c r="AC53" s="2"/>
      <c r="AD53" s="2"/>
      <c r="AE53" s="9" t="s">
        <v>218</v>
      </c>
      <c r="AF53" s="2"/>
      <c r="AG53" s="2"/>
    </row>
    <row r="54" spans="1:33" x14ac:dyDescent="0.25">
      <c r="A54" s="14">
        <f t="shared" si="5"/>
        <v>52</v>
      </c>
      <c r="B54" s="2" t="s">
        <v>123</v>
      </c>
      <c r="C54" s="2" t="s">
        <v>150</v>
      </c>
      <c r="D54" s="2" t="s">
        <v>149</v>
      </c>
      <c r="E54" s="2" t="s">
        <v>56</v>
      </c>
      <c r="F54" s="2">
        <v>50</v>
      </c>
      <c r="G54" s="2"/>
      <c r="H54" s="22"/>
      <c r="I54" s="2"/>
      <c r="J54" s="2">
        <v>0</v>
      </c>
      <c r="K54" s="2"/>
      <c r="L54" s="2"/>
      <c r="M54" s="16">
        <v>43467</v>
      </c>
      <c r="N54" s="31"/>
      <c r="O54" s="2" t="s">
        <v>39</v>
      </c>
      <c r="P54" s="2" t="s">
        <v>160</v>
      </c>
      <c r="Q54" s="3">
        <v>53395</v>
      </c>
      <c r="R54" s="3">
        <v>16557</v>
      </c>
      <c r="S54" s="3">
        <f t="shared" si="3"/>
        <v>69952</v>
      </c>
      <c r="T54" s="3"/>
      <c r="U54" s="2"/>
      <c r="V54" s="2">
        <f t="shared" si="4"/>
        <v>30</v>
      </c>
      <c r="W54" s="2">
        <v>2.53E-2</v>
      </c>
      <c r="X54" s="2">
        <v>6.7</v>
      </c>
      <c r="Y54" s="2"/>
      <c r="Z54" s="2"/>
      <c r="AA54" s="2"/>
      <c r="AB54" s="2"/>
      <c r="AC54" s="2"/>
      <c r="AD54" s="2"/>
      <c r="AE54" s="9" t="s">
        <v>210</v>
      </c>
      <c r="AF54" s="2"/>
      <c r="AG54" s="2"/>
    </row>
    <row r="55" spans="1:33" x14ac:dyDescent="0.25">
      <c r="A55" s="14">
        <f t="shared" si="5"/>
        <v>53</v>
      </c>
      <c r="B55" s="2" t="s">
        <v>124</v>
      </c>
      <c r="C55" s="2" t="s">
        <v>151</v>
      </c>
      <c r="D55" s="2" t="s">
        <v>138</v>
      </c>
      <c r="E55" s="2" t="s">
        <v>56</v>
      </c>
      <c r="F55" s="2"/>
      <c r="G55" s="2"/>
      <c r="H55" s="22"/>
      <c r="I55" s="2"/>
      <c r="J55" s="2">
        <v>1</v>
      </c>
      <c r="K55" s="2"/>
      <c r="L55" s="2"/>
      <c r="M55" s="16">
        <v>43480</v>
      </c>
      <c r="N55" s="31">
        <v>100</v>
      </c>
      <c r="O55" s="2" t="s">
        <v>39</v>
      </c>
      <c r="P55" s="2" t="s">
        <v>160</v>
      </c>
      <c r="Q55" s="3">
        <v>51377</v>
      </c>
      <c r="R55" s="3">
        <v>13986</v>
      </c>
      <c r="S55" s="3">
        <f t="shared" si="3"/>
        <v>65363</v>
      </c>
      <c r="T55" s="3"/>
      <c r="U55" s="2"/>
      <c r="V55" s="2">
        <f t="shared" si="4"/>
        <v>6</v>
      </c>
      <c r="W55" s="2">
        <v>5.9499999999999997E-2</v>
      </c>
      <c r="X55" s="2">
        <v>26.3</v>
      </c>
      <c r="Y55" s="2"/>
      <c r="Z55" s="2"/>
      <c r="AA55" s="2"/>
      <c r="AB55" s="2"/>
      <c r="AC55" s="2"/>
      <c r="AD55" s="2"/>
      <c r="AE55" s="9" t="s">
        <v>233</v>
      </c>
      <c r="AF55" s="2"/>
      <c r="AG55" s="2"/>
    </row>
    <row r="56" spans="1:33" x14ac:dyDescent="0.25">
      <c r="A56" s="14">
        <f t="shared" si="5"/>
        <v>54</v>
      </c>
      <c r="B56" s="2" t="s">
        <v>125</v>
      </c>
      <c r="C56" s="2" t="s">
        <v>144</v>
      </c>
      <c r="D56" s="2" t="s">
        <v>95</v>
      </c>
      <c r="E56" s="2" t="s">
        <v>56</v>
      </c>
      <c r="F56" s="2"/>
      <c r="G56" s="2"/>
      <c r="H56" s="22"/>
      <c r="I56" s="2"/>
      <c r="J56" s="2">
        <v>1</v>
      </c>
      <c r="K56" s="2">
        <v>1</v>
      </c>
      <c r="L56" s="16">
        <v>43449</v>
      </c>
      <c r="M56" s="16">
        <v>43480</v>
      </c>
      <c r="N56" s="31">
        <v>90</v>
      </c>
      <c r="O56" s="2" t="s">
        <v>39</v>
      </c>
      <c r="P56" s="2" t="s">
        <v>160</v>
      </c>
      <c r="Q56" s="3">
        <v>45790</v>
      </c>
      <c r="R56" s="3">
        <v>17289</v>
      </c>
      <c r="S56" s="3">
        <f t="shared" si="3"/>
        <v>63079</v>
      </c>
      <c r="T56" s="3"/>
      <c r="U56" s="2"/>
      <c r="V56" s="2">
        <f t="shared" si="4"/>
        <v>17</v>
      </c>
      <c r="W56" s="2">
        <v>0.3135</v>
      </c>
      <c r="X56" s="2">
        <v>17.7</v>
      </c>
      <c r="Y56" s="2"/>
      <c r="Z56" s="2"/>
      <c r="AA56" s="2"/>
      <c r="AB56" s="2"/>
      <c r="AC56" s="2"/>
      <c r="AD56" s="2"/>
      <c r="AE56" s="9" t="s">
        <v>221</v>
      </c>
      <c r="AF56" s="2"/>
      <c r="AG56" s="2"/>
    </row>
    <row r="57" spans="1:33" x14ac:dyDescent="0.25">
      <c r="A57" s="14">
        <f t="shared" si="5"/>
        <v>55</v>
      </c>
      <c r="B57" s="2" t="s">
        <v>126</v>
      </c>
      <c r="C57" s="2" t="s">
        <v>145</v>
      </c>
      <c r="D57" s="2" t="s">
        <v>61</v>
      </c>
      <c r="E57" s="2" t="s">
        <v>56</v>
      </c>
      <c r="F57" s="2"/>
      <c r="G57" s="2"/>
      <c r="H57" s="22" t="s">
        <v>367</v>
      </c>
      <c r="I57" s="2"/>
      <c r="J57" s="2">
        <v>1</v>
      </c>
      <c r="K57" s="2"/>
      <c r="L57" s="2"/>
      <c r="M57" s="16">
        <v>43586</v>
      </c>
      <c r="N57" s="31"/>
      <c r="O57" s="2" t="s">
        <v>39</v>
      </c>
      <c r="P57" s="2" t="s">
        <v>160</v>
      </c>
      <c r="Q57" s="3">
        <v>53613</v>
      </c>
      <c r="R57" s="3">
        <v>17630</v>
      </c>
      <c r="S57" s="3">
        <f t="shared" si="3"/>
        <v>71243</v>
      </c>
      <c r="T57" s="3"/>
      <c r="U57" s="2"/>
      <c r="V57" s="2">
        <f t="shared" si="4"/>
        <v>33</v>
      </c>
      <c r="W57" s="2">
        <v>0.57499999999999996</v>
      </c>
      <c r="X57" s="2">
        <v>32.6</v>
      </c>
      <c r="Y57" s="2"/>
      <c r="Z57" s="2"/>
      <c r="AA57" s="2"/>
      <c r="AB57" s="2"/>
      <c r="AC57" s="2"/>
      <c r="AD57" s="2"/>
      <c r="AE57" s="9" t="s">
        <v>220</v>
      </c>
      <c r="AF57" s="2"/>
      <c r="AG57" s="2"/>
    </row>
    <row r="58" spans="1:33" x14ac:dyDescent="0.25">
      <c r="A58" s="14">
        <f t="shared" si="5"/>
        <v>56</v>
      </c>
      <c r="B58" s="2" t="s">
        <v>127</v>
      </c>
      <c r="C58" s="2" t="s">
        <v>152</v>
      </c>
      <c r="D58" s="2" t="s">
        <v>71</v>
      </c>
      <c r="E58" s="2" t="s">
        <v>56</v>
      </c>
      <c r="F58" s="2"/>
      <c r="G58" s="2"/>
      <c r="H58" s="22"/>
      <c r="I58" s="2"/>
      <c r="J58" s="2">
        <v>0</v>
      </c>
      <c r="K58" s="2"/>
      <c r="M58" s="16">
        <v>43496</v>
      </c>
      <c r="N58" s="31">
        <v>90</v>
      </c>
      <c r="O58" s="2" t="s">
        <v>39</v>
      </c>
      <c r="P58" s="2" t="s">
        <v>160</v>
      </c>
      <c r="Q58" s="3">
        <v>55832</v>
      </c>
      <c r="R58" s="3">
        <v>17372</v>
      </c>
      <c r="S58" s="3">
        <f t="shared" si="3"/>
        <v>73204</v>
      </c>
      <c r="T58" s="3"/>
      <c r="U58" s="2"/>
      <c r="V58" s="2">
        <f t="shared" si="4"/>
        <v>32</v>
      </c>
      <c r="W58" s="2">
        <v>0.14630000000000001</v>
      </c>
      <c r="X58" s="2">
        <v>11.4</v>
      </c>
      <c r="Y58" s="2"/>
      <c r="Z58" s="2"/>
      <c r="AA58" s="2"/>
      <c r="AB58" s="2"/>
      <c r="AC58" s="2"/>
      <c r="AD58" s="2"/>
      <c r="AE58" s="9" t="s">
        <v>210</v>
      </c>
      <c r="AF58" s="2"/>
      <c r="AG58" s="2"/>
    </row>
    <row r="59" spans="1:33" x14ac:dyDescent="0.25">
      <c r="A59" s="14">
        <f t="shared" si="5"/>
        <v>57</v>
      </c>
      <c r="B59" s="46" t="s">
        <v>128</v>
      </c>
      <c r="C59" s="2" t="s">
        <v>153</v>
      </c>
      <c r="D59" s="2" t="s">
        <v>129</v>
      </c>
      <c r="E59" s="2" t="s">
        <v>56</v>
      </c>
      <c r="F59" s="2"/>
      <c r="G59" s="2"/>
      <c r="H59" s="22"/>
      <c r="I59" s="2"/>
      <c r="J59" s="2">
        <v>0</v>
      </c>
      <c r="K59" s="2"/>
      <c r="L59" s="2"/>
      <c r="M59" s="16">
        <v>43525</v>
      </c>
      <c r="N59" s="31"/>
      <c r="O59" s="2" t="s">
        <v>39</v>
      </c>
      <c r="P59" s="2" t="s">
        <v>160</v>
      </c>
      <c r="Q59" s="3">
        <v>55955</v>
      </c>
      <c r="R59" s="3">
        <v>16918</v>
      </c>
      <c r="S59" s="3">
        <f t="shared" si="3"/>
        <v>72873</v>
      </c>
      <c r="T59" s="3"/>
      <c r="U59" s="2"/>
      <c r="V59" s="2">
        <f t="shared" si="4"/>
        <v>28</v>
      </c>
      <c r="W59" s="2">
        <v>0.3322</v>
      </c>
      <c r="X59" s="2">
        <v>14.1</v>
      </c>
      <c r="Y59" s="2"/>
      <c r="Z59" s="2"/>
      <c r="AA59" s="2"/>
      <c r="AB59" s="2"/>
      <c r="AC59" s="2"/>
      <c r="AD59" s="2"/>
      <c r="AE59" s="9" t="s">
        <v>219</v>
      </c>
      <c r="AF59" s="2"/>
      <c r="AG59" s="2"/>
    </row>
    <row r="60" spans="1:33" x14ac:dyDescent="0.25">
      <c r="A60" s="14">
        <f t="shared" si="5"/>
        <v>58</v>
      </c>
      <c r="B60" s="42" t="s">
        <v>409</v>
      </c>
      <c r="C60" s="2" t="s">
        <v>216</v>
      </c>
      <c r="D60" s="2" t="s">
        <v>215</v>
      </c>
      <c r="E60" s="2" t="s">
        <v>56</v>
      </c>
      <c r="F60" s="2"/>
      <c r="G60" s="2"/>
      <c r="H60" s="22"/>
      <c r="I60" s="2"/>
      <c r="J60" s="11">
        <v>0</v>
      </c>
      <c r="K60" s="11"/>
      <c r="L60" s="2"/>
      <c r="M60" s="16">
        <v>43525</v>
      </c>
      <c r="N60" s="31">
        <v>79</v>
      </c>
      <c r="O60" s="11" t="s">
        <v>39</v>
      </c>
      <c r="P60" s="11" t="s">
        <v>160</v>
      </c>
      <c r="Q60" s="3">
        <v>27530</v>
      </c>
      <c r="R60" s="3">
        <f>S60-Q60</f>
        <v>18290</v>
      </c>
      <c r="S60" s="3">
        <v>45820</v>
      </c>
      <c r="T60" s="2"/>
      <c r="U60" s="2"/>
      <c r="V60" s="2">
        <f t="shared" si="4"/>
        <v>49</v>
      </c>
      <c r="W60" s="2">
        <v>0.14480000000000001</v>
      </c>
      <c r="X60" s="2">
        <v>44.6</v>
      </c>
      <c r="Y60" s="2"/>
      <c r="Z60" s="2"/>
      <c r="AA60" s="2"/>
      <c r="AB60" s="2"/>
      <c r="AC60" s="2"/>
      <c r="AD60" s="2" t="s">
        <v>217</v>
      </c>
      <c r="AE60" s="9" t="s">
        <v>228</v>
      </c>
      <c r="AF60" s="2"/>
      <c r="AG60" s="2" t="s">
        <v>376</v>
      </c>
    </row>
  </sheetData>
  <autoFilter ref="A2:AG60" xr:uid="{89C38E73-B57B-4FB4-9B64-E5F3DF2C21FB}">
    <filterColumn colId="1">
      <colorFilter dxfId="0"/>
    </filterColumn>
  </autoFilter>
  <mergeCells count="11">
    <mergeCell ref="A1:E1"/>
    <mergeCell ref="I1:J1"/>
    <mergeCell ref="P1:U1"/>
    <mergeCell ref="L3:M3"/>
    <mergeCell ref="N1:O1"/>
    <mergeCell ref="W1:AF1"/>
    <mergeCell ref="AG1:AG2"/>
    <mergeCell ref="K1:M1"/>
    <mergeCell ref="L53:M53"/>
    <mergeCell ref="L40:M40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P48"/>
  <sheetViews>
    <sheetView topLeftCell="A19" workbookViewId="0">
      <selection activeCell="C23" sqref="C23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5" customWidth="1"/>
    <col min="4" max="4" width="24.7109375" style="15" customWidth="1"/>
    <col min="5" max="5" width="34.140625" customWidth="1"/>
    <col min="6" max="7" width="24.7109375" bestFit="1" customWidth="1"/>
    <col min="8" max="8" width="11.42578125" bestFit="1" customWidth="1"/>
    <col min="9" max="9" width="8.42578125" bestFit="1" customWidth="1"/>
    <col min="10" max="10" width="10.5703125" bestFit="1" customWidth="1"/>
    <col min="11" max="11" width="13.5703125" bestFit="1" customWidth="1"/>
    <col min="12" max="12" width="10.140625" bestFit="1" customWidth="1"/>
    <col min="13" max="13" width="10.42578125" bestFit="1" customWidth="1"/>
    <col min="14" max="14" width="15.85546875" bestFit="1" customWidth="1"/>
    <col min="15" max="15" width="10.7109375" bestFit="1" customWidth="1"/>
    <col min="16" max="16" width="40.42578125" style="15" bestFit="1" customWidth="1"/>
  </cols>
  <sheetData>
    <row r="1" spans="1:16" x14ac:dyDescent="0.25">
      <c r="A1" s="60" t="s">
        <v>321</v>
      </c>
      <c r="B1" s="60"/>
      <c r="C1" s="60"/>
      <c r="D1" s="60"/>
      <c r="E1" s="60"/>
    </row>
    <row r="3" spans="1:16" x14ac:dyDescent="0.25">
      <c r="A3" s="1" t="s">
        <v>0</v>
      </c>
      <c r="B3" s="1" t="s">
        <v>241</v>
      </c>
      <c r="C3" s="4" t="s">
        <v>240</v>
      </c>
      <c r="D3" s="4" t="s">
        <v>242</v>
      </c>
      <c r="E3" s="1" t="s">
        <v>260</v>
      </c>
      <c r="F3" s="1" t="s">
        <v>296</v>
      </c>
      <c r="G3" s="1" t="s">
        <v>297</v>
      </c>
      <c r="H3" s="1" t="s">
        <v>243</v>
      </c>
      <c r="I3" s="1" t="s">
        <v>244</v>
      </c>
      <c r="J3" s="1" t="s">
        <v>245</v>
      </c>
      <c r="K3" s="1" t="s">
        <v>246</v>
      </c>
      <c r="L3" s="1" t="s">
        <v>256</v>
      </c>
      <c r="M3" s="1" t="s">
        <v>257</v>
      </c>
      <c r="N3" s="1" t="s">
        <v>4</v>
      </c>
      <c r="O3" s="1" t="s">
        <v>30</v>
      </c>
      <c r="P3" s="4" t="s">
        <v>33</v>
      </c>
    </row>
    <row r="4" spans="1:16" x14ac:dyDescent="0.25">
      <c r="A4" s="58">
        <v>1</v>
      </c>
      <c r="B4" s="61" t="s">
        <v>247</v>
      </c>
      <c r="C4" s="5" t="s">
        <v>249</v>
      </c>
      <c r="D4" s="5" t="s">
        <v>254</v>
      </c>
      <c r="E4" s="2" t="s">
        <v>295</v>
      </c>
      <c r="F4" s="2" t="s">
        <v>299</v>
      </c>
      <c r="G4" s="16">
        <v>43435</v>
      </c>
      <c r="H4" s="2"/>
      <c r="I4" s="2"/>
      <c r="J4" s="2"/>
      <c r="K4" s="2"/>
      <c r="L4" s="2"/>
      <c r="M4" s="2"/>
      <c r="N4" s="2"/>
      <c r="O4" s="2"/>
      <c r="P4" s="5"/>
    </row>
    <row r="5" spans="1:16" x14ac:dyDescent="0.25">
      <c r="A5" s="58"/>
      <c r="B5" s="61"/>
      <c r="C5" s="5" t="s">
        <v>261</v>
      </c>
      <c r="D5" s="5" t="s">
        <v>254</v>
      </c>
      <c r="E5" s="2" t="s">
        <v>262</v>
      </c>
      <c r="F5" s="2" t="s">
        <v>299</v>
      </c>
      <c r="G5" s="16">
        <v>43435</v>
      </c>
      <c r="H5" s="2"/>
      <c r="I5" s="2"/>
      <c r="J5" s="2"/>
      <c r="K5" s="2"/>
      <c r="L5" s="2"/>
      <c r="M5" s="2"/>
      <c r="N5" s="2"/>
      <c r="O5" s="2"/>
      <c r="P5" s="5"/>
    </row>
    <row r="6" spans="1:16" x14ac:dyDescent="0.25">
      <c r="A6" s="58"/>
      <c r="B6" s="61"/>
      <c r="C6" s="5" t="s">
        <v>294</v>
      </c>
      <c r="D6" s="5" t="s">
        <v>254</v>
      </c>
      <c r="E6" s="2" t="s">
        <v>295</v>
      </c>
      <c r="F6" s="2" t="s">
        <v>299</v>
      </c>
      <c r="G6" s="16">
        <v>43480</v>
      </c>
      <c r="H6" s="2"/>
      <c r="I6" s="2"/>
      <c r="J6" s="2"/>
      <c r="K6" s="2"/>
      <c r="L6" s="2"/>
      <c r="M6" s="2"/>
      <c r="N6" s="2"/>
      <c r="O6" s="2"/>
      <c r="P6" s="5"/>
    </row>
    <row r="7" spans="1:16" x14ac:dyDescent="0.25">
      <c r="A7" s="58">
        <v>2</v>
      </c>
      <c r="B7" s="61" t="s">
        <v>7</v>
      </c>
      <c r="C7" s="5" t="s">
        <v>249</v>
      </c>
      <c r="D7" s="5" t="s">
        <v>254</v>
      </c>
      <c r="E7" s="2" t="s">
        <v>295</v>
      </c>
      <c r="F7" s="16">
        <v>43434</v>
      </c>
      <c r="G7" s="16">
        <v>43444</v>
      </c>
      <c r="H7" s="2">
        <v>42</v>
      </c>
      <c r="I7" s="2">
        <v>88</v>
      </c>
      <c r="J7" s="13">
        <v>117357</v>
      </c>
      <c r="K7" s="13">
        <v>120000</v>
      </c>
      <c r="L7" s="13">
        <v>80000</v>
      </c>
      <c r="M7" s="13">
        <v>135000</v>
      </c>
      <c r="N7" s="2"/>
      <c r="O7" s="2"/>
      <c r="P7" s="5"/>
    </row>
    <row r="8" spans="1:16" ht="45" x14ac:dyDescent="0.25">
      <c r="A8" s="58"/>
      <c r="B8" s="61"/>
      <c r="C8" s="5" t="s">
        <v>258</v>
      </c>
      <c r="D8" s="5" t="s">
        <v>254</v>
      </c>
      <c r="E8" s="2" t="s">
        <v>295</v>
      </c>
      <c r="F8" s="16">
        <v>43434</v>
      </c>
      <c r="G8" s="16">
        <v>43444</v>
      </c>
      <c r="H8" s="2">
        <v>69</v>
      </c>
      <c r="I8" s="2">
        <v>94</v>
      </c>
      <c r="J8" s="13">
        <v>113617</v>
      </c>
      <c r="K8" s="13">
        <v>112500</v>
      </c>
      <c r="L8" s="13">
        <v>75000</v>
      </c>
      <c r="M8" s="13">
        <v>150000</v>
      </c>
      <c r="N8" s="2"/>
      <c r="O8" s="2"/>
      <c r="P8" s="5"/>
    </row>
    <row r="9" spans="1:16" x14ac:dyDescent="0.25">
      <c r="A9" s="58"/>
      <c r="B9" s="61"/>
      <c r="C9" s="5" t="s">
        <v>248</v>
      </c>
      <c r="D9" s="5" t="s">
        <v>254</v>
      </c>
      <c r="E9" s="2" t="s">
        <v>295</v>
      </c>
      <c r="F9" s="16">
        <v>43434</v>
      </c>
      <c r="G9" s="16">
        <v>43444</v>
      </c>
      <c r="H9" s="2">
        <v>47</v>
      </c>
      <c r="I9" s="2">
        <v>96</v>
      </c>
      <c r="J9" s="13">
        <v>117605</v>
      </c>
      <c r="K9" s="13">
        <v>115000</v>
      </c>
      <c r="L9" s="13">
        <v>100000</v>
      </c>
      <c r="M9" s="13">
        <v>145000</v>
      </c>
      <c r="N9" s="2"/>
      <c r="O9" s="2"/>
      <c r="P9" s="5"/>
    </row>
    <row r="10" spans="1:16" ht="30" x14ac:dyDescent="0.25">
      <c r="A10" s="58"/>
      <c r="B10" s="61"/>
      <c r="C10" s="5" t="s">
        <v>259</v>
      </c>
      <c r="D10" s="5" t="s">
        <v>254</v>
      </c>
      <c r="E10" s="2" t="s">
        <v>295</v>
      </c>
      <c r="F10" s="16">
        <v>43434</v>
      </c>
      <c r="G10" s="16">
        <v>43444</v>
      </c>
      <c r="H10" s="2">
        <v>20</v>
      </c>
      <c r="I10" s="2">
        <v>95</v>
      </c>
      <c r="J10" s="13">
        <v>120929</v>
      </c>
      <c r="K10" s="13">
        <v>120000</v>
      </c>
      <c r="L10" s="13">
        <v>107000</v>
      </c>
      <c r="M10" s="13">
        <v>145000</v>
      </c>
      <c r="N10" s="2"/>
      <c r="O10" s="2"/>
      <c r="P10" s="5"/>
    </row>
    <row r="11" spans="1:16" x14ac:dyDescent="0.25">
      <c r="A11" s="58"/>
      <c r="B11" s="61"/>
      <c r="C11" s="5" t="s">
        <v>250</v>
      </c>
      <c r="D11" s="5" t="s">
        <v>254</v>
      </c>
      <c r="E11" s="2" t="s">
        <v>295</v>
      </c>
      <c r="F11" s="16">
        <v>43434</v>
      </c>
      <c r="G11" s="16">
        <v>43444</v>
      </c>
      <c r="H11" s="2">
        <v>12</v>
      </c>
      <c r="I11" s="2">
        <v>91</v>
      </c>
      <c r="J11" s="13">
        <v>116680</v>
      </c>
      <c r="K11" s="13">
        <v>117000</v>
      </c>
      <c r="L11" s="13">
        <v>105000</v>
      </c>
      <c r="M11" s="13">
        <v>126000</v>
      </c>
      <c r="N11" s="2"/>
      <c r="O11" s="2"/>
      <c r="P11" s="5"/>
    </row>
    <row r="12" spans="1:16" x14ac:dyDescent="0.25">
      <c r="A12" s="58"/>
      <c r="B12" s="61"/>
      <c r="C12" s="5" t="s">
        <v>251</v>
      </c>
      <c r="D12" s="5" t="s">
        <v>254</v>
      </c>
      <c r="E12" s="2" t="s">
        <v>295</v>
      </c>
      <c r="F12" s="16">
        <v>43434</v>
      </c>
      <c r="G12" s="16">
        <v>43444</v>
      </c>
      <c r="H12" s="2">
        <v>24</v>
      </c>
      <c r="I12" s="2">
        <v>100</v>
      </c>
      <c r="J12" s="13">
        <v>125455</v>
      </c>
      <c r="K12" s="13">
        <v>120000</v>
      </c>
      <c r="L12" s="13">
        <v>108000</v>
      </c>
      <c r="M12" s="13">
        <v>145000</v>
      </c>
      <c r="N12" s="2"/>
      <c r="O12" s="2"/>
      <c r="P12" s="5"/>
    </row>
    <row r="13" spans="1:16" ht="30" x14ac:dyDescent="0.25">
      <c r="A13" s="58"/>
      <c r="B13" s="61"/>
      <c r="C13" s="5" t="s">
        <v>252</v>
      </c>
      <c r="D13" s="5" t="s">
        <v>255</v>
      </c>
      <c r="E13" s="2" t="s">
        <v>295</v>
      </c>
      <c r="F13" s="16">
        <v>43434</v>
      </c>
      <c r="G13" s="16">
        <v>43444</v>
      </c>
      <c r="H13" s="2">
        <v>182</v>
      </c>
      <c r="I13" s="2">
        <v>95</v>
      </c>
      <c r="J13" s="13">
        <v>111858</v>
      </c>
      <c r="K13" s="13">
        <v>115000</v>
      </c>
      <c r="L13" s="13">
        <v>24000</v>
      </c>
      <c r="M13" s="13">
        <v>170000</v>
      </c>
      <c r="N13" s="2"/>
      <c r="O13" s="2"/>
      <c r="P13" s="5"/>
    </row>
    <row r="14" spans="1:16" ht="30" x14ac:dyDescent="0.25">
      <c r="A14" s="58"/>
      <c r="B14" s="61"/>
      <c r="C14" s="5" t="s">
        <v>253</v>
      </c>
      <c r="D14" s="5" t="s">
        <v>255</v>
      </c>
      <c r="E14" s="2" t="s">
        <v>295</v>
      </c>
      <c r="F14" s="16">
        <v>43434</v>
      </c>
      <c r="G14" s="16">
        <v>43444</v>
      </c>
      <c r="H14" s="2">
        <v>59</v>
      </c>
      <c r="I14" s="2">
        <v>100</v>
      </c>
      <c r="J14" s="13">
        <v>120000</v>
      </c>
      <c r="K14" s="13">
        <v>120000</v>
      </c>
      <c r="L14" s="13">
        <v>107000</v>
      </c>
      <c r="M14" s="13">
        <v>155000</v>
      </c>
      <c r="N14" s="2"/>
      <c r="O14" s="2"/>
      <c r="P14" s="5"/>
    </row>
    <row r="15" spans="1:16" ht="45" x14ac:dyDescent="0.25">
      <c r="A15" s="27">
        <v>3</v>
      </c>
      <c r="B15" s="26" t="s">
        <v>17</v>
      </c>
      <c r="C15" s="5" t="s">
        <v>315</v>
      </c>
      <c r="D15" s="5" t="s">
        <v>316</v>
      </c>
      <c r="E15" s="2" t="s">
        <v>295</v>
      </c>
      <c r="F15" s="16"/>
      <c r="G15" s="16"/>
      <c r="H15" s="2"/>
      <c r="I15" s="2"/>
      <c r="J15" s="13"/>
      <c r="K15" s="13"/>
      <c r="L15" s="13"/>
      <c r="M15" s="13"/>
      <c r="N15" s="2"/>
      <c r="O15" s="2"/>
      <c r="P15" s="5"/>
    </row>
    <row r="16" spans="1:16" ht="30" x14ac:dyDescent="0.25">
      <c r="A16" s="27">
        <v>3</v>
      </c>
      <c r="B16" s="26" t="s">
        <v>43</v>
      </c>
      <c r="C16" s="5" t="s">
        <v>166</v>
      </c>
      <c r="D16" s="29" t="s">
        <v>310</v>
      </c>
      <c r="E16" s="2" t="s">
        <v>295</v>
      </c>
      <c r="F16" s="2"/>
      <c r="G16" s="2"/>
      <c r="H16" s="11">
        <v>51</v>
      </c>
      <c r="I16" s="2"/>
      <c r="J16" s="2"/>
      <c r="K16" s="2"/>
      <c r="L16" s="2"/>
      <c r="M16" s="2"/>
      <c r="N16" s="2"/>
      <c r="O16" s="2"/>
      <c r="P16" s="5" t="s">
        <v>314</v>
      </c>
    </row>
    <row r="17" spans="1:16" x14ac:dyDescent="0.25">
      <c r="A17" s="58">
        <v>4</v>
      </c>
      <c r="B17" s="61" t="s">
        <v>44</v>
      </c>
      <c r="C17" s="5" t="s">
        <v>168</v>
      </c>
      <c r="D17" s="5" t="s">
        <v>309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314</v>
      </c>
    </row>
    <row r="18" spans="1:16" x14ac:dyDescent="0.25">
      <c r="A18" s="58"/>
      <c r="B18" s="61"/>
      <c r="C18" s="5" t="s">
        <v>311</v>
      </c>
      <c r="D18" s="5" t="s">
        <v>309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314</v>
      </c>
    </row>
    <row r="19" spans="1:16" x14ac:dyDescent="0.25">
      <c r="A19" s="58"/>
      <c r="B19" s="61"/>
      <c r="C19" s="5" t="s">
        <v>312</v>
      </c>
      <c r="D19" s="5" t="s">
        <v>309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314</v>
      </c>
    </row>
    <row r="20" spans="1:16" x14ac:dyDescent="0.25">
      <c r="A20" s="58"/>
      <c r="B20" s="61"/>
      <c r="C20" s="5" t="s">
        <v>313</v>
      </c>
      <c r="D20" s="5" t="s">
        <v>309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314</v>
      </c>
    </row>
    <row r="21" spans="1:16" x14ac:dyDescent="0.25">
      <c r="A21" s="27">
        <v>5</v>
      </c>
      <c r="B21" s="26" t="s">
        <v>19</v>
      </c>
      <c r="C21" s="5" t="s">
        <v>319</v>
      </c>
      <c r="D21" s="5" t="s">
        <v>309</v>
      </c>
      <c r="E21" s="11" t="s">
        <v>295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5"/>
    </row>
    <row r="22" spans="1:16" ht="30" x14ac:dyDescent="0.25">
      <c r="A22" s="58">
        <v>6</v>
      </c>
      <c r="B22" s="61" t="s">
        <v>53</v>
      </c>
      <c r="C22" s="5" t="s">
        <v>323</v>
      </c>
      <c r="D22" s="5" t="s">
        <v>324</v>
      </c>
      <c r="E22" s="11" t="s">
        <v>295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9" t="s">
        <v>325</v>
      </c>
    </row>
    <row r="23" spans="1:16" ht="30" x14ac:dyDescent="0.25">
      <c r="A23" s="58"/>
      <c r="B23" s="61"/>
      <c r="C23" s="5" t="s">
        <v>326</v>
      </c>
      <c r="D23" s="5" t="s">
        <v>324</v>
      </c>
      <c r="E23" s="11" t="s">
        <v>295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5"/>
    </row>
    <row r="24" spans="1:16" ht="45" x14ac:dyDescent="0.25">
      <c r="A24" s="58">
        <v>7</v>
      </c>
      <c r="B24" s="61" t="s">
        <v>80</v>
      </c>
      <c r="C24" s="5" t="s">
        <v>327</v>
      </c>
      <c r="D24" s="5" t="s">
        <v>330</v>
      </c>
      <c r="E24" s="11" t="s">
        <v>295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5"/>
    </row>
    <row r="25" spans="1:16" ht="45" x14ac:dyDescent="0.25">
      <c r="A25" s="58"/>
      <c r="B25" s="61"/>
      <c r="C25" s="5" t="s">
        <v>328</v>
      </c>
      <c r="D25" s="5" t="s">
        <v>330</v>
      </c>
      <c r="E25" s="11" t="s">
        <v>295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331</v>
      </c>
    </row>
    <row r="26" spans="1:16" ht="30" x14ac:dyDescent="0.25">
      <c r="A26" s="58"/>
      <c r="B26" s="61"/>
      <c r="C26" s="5" t="s">
        <v>329</v>
      </c>
      <c r="D26" s="5" t="s">
        <v>330</v>
      </c>
      <c r="E26" s="11" t="s">
        <v>295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1:16" ht="45" x14ac:dyDescent="0.25">
      <c r="A27" s="58">
        <v>8</v>
      </c>
      <c r="B27" s="57" t="s">
        <v>109</v>
      </c>
      <c r="C27" s="5" t="s">
        <v>332</v>
      </c>
      <c r="D27" s="5" t="s">
        <v>334</v>
      </c>
      <c r="E27" s="2" t="s">
        <v>262</v>
      </c>
      <c r="F27" s="2"/>
      <c r="G27" s="16">
        <v>43449</v>
      </c>
      <c r="H27" s="2"/>
      <c r="I27" s="2"/>
      <c r="J27" s="2"/>
      <c r="K27" s="2"/>
      <c r="L27" s="2"/>
      <c r="M27" s="2"/>
      <c r="N27" s="2"/>
      <c r="O27" s="2"/>
      <c r="P27" s="5" t="s">
        <v>335</v>
      </c>
    </row>
    <row r="28" spans="1:16" ht="30" x14ac:dyDescent="0.25">
      <c r="A28" s="58"/>
      <c r="B28" s="57"/>
      <c r="C28" s="5" t="s">
        <v>333</v>
      </c>
      <c r="D28" s="5" t="s">
        <v>334</v>
      </c>
      <c r="E28" s="11" t="s">
        <v>295</v>
      </c>
      <c r="F28" s="2"/>
      <c r="G28" s="16">
        <v>43539</v>
      </c>
      <c r="H28" s="2"/>
      <c r="I28" s="2"/>
      <c r="J28" s="2"/>
      <c r="K28" s="2"/>
      <c r="L28" s="2"/>
      <c r="M28" s="2"/>
      <c r="N28" s="2"/>
      <c r="O28" s="2"/>
      <c r="P28" s="5" t="s">
        <v>336</v>
      </c>
    </row>
    <row r="29" spans="1:16" x14ac:dyDescent="0.25">
      <c r="A29" s="27">
        <v>9</v>
      </c>
      <c r="B29" s="2" t="s">
        <v>115</v>
      </c>
      <c r="C29" s="5" t="s">
        <v>341</v>
      </c>
      <c r="D29" s="5" t="s">
        <v>254</v>
      </c>
      <c r="E29" s="11" t="s">
        <v>262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1:16" ht="30" x14ac:dyDescent="0.25">
      <c r="A30" s="2">
        <v>10</v>
      </c>
      <c r="B30" s="2" t="s">
        <v>117</v>
      </c>
      <c r="C30" s="5" t="s">
        <v>345</v>
      </c>
      <c r="D30" s="5" t="s">
        <v>254</v>
      </c>
      <c r="E30" s="11" t="s">
        <v>344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1:16" ht="30" x14ac:dyDescent="0.25">
      <c r="A31" s="2">
        <v>11</v>
      </c>
      <c r="B31" s="2" t="s">
        <v>119</v>
      </c>
      <c r="C31" s="5" t="s">
        <v>346</v>
      </c>
      <c r="D31" s="5" t="s">
        <v>254</v>
      </c>
      <c r="E31" s="11" t="s">
        <v>262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5"/>
    </row>
    <row r="32" spans="1:16" ht="30" x14ac:dyDescent="0.25">
      <c r="A32" s="58">
        <v>12</v>
      </c>
      <c r="B32" s="59" t="s">
        <v>120</v>
      </c>
      <c r="C32" s="5" t="s">
        <v>333</v>
      </c>
      <c r="D32" s="5" t="s">
        <v>254</v>
      </c>
      <c r="E32" s="11" t="s">
        <v>344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348</v>
      </c>
    </row>
    <row r="33" spans="1:16" ht="30" x14ac:dyDescent="0.25">
      <c r="A33" s="58"/>
      <c r="B33" s="59"/>
      <c r="C33" s="5" t="s">
        <v>349</v>
      </c>
      <c r="D33" s="5" t="s">
        <v>254</v>
      </c>
      <c r="E33" s="11" t="s">
        <v>262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350</v>
      </c>
    </row>
    <row r="34" spans="1:16" x14ac:dyDescent="0.25">
      <c r="A34" s="58">
        <v>13</v>
      </c>
      <c r="B34" s="63" t="s">
        <v>122</v>
      </c>
      <c r="C34" s="5" t="s">
        <v>355</v>
      </c>
      <c r="D34" s="5" t="s">
        <v>254</v>
      </c>
      <c r="E34" s="11" t="s">
        <v>295</v>
      </c>
      <c r="F34" s="2"/>
      <c r="G34" s="16">
        <v>43449</v>
      </c>
      <c r="H34" s="2"/>
      <c r="I34" s="2"/>
      <c r="J34" s="2"/>
      <c r="K34" s="2"/>
      <c r="L34" s="2"/>
      <c r="M34" s="2"/>
      <c r="N34" s="2"/>
      <c r="O34" s="2"/>
      <c r="P34" s="5"/>
    </row>
    <row r="35" spans="1:16" ht="30" x14ac:dyDescent="0.25">
      <c r="A35" s="58"/>
      <c r="B35" s="63"/>
      <c r="C35" s="5" t="s">
        <v>356</v>
      </c>
      <c r="D35" s="5" t="s">
        <v>254</v>
      </c>
      <c r="E35" s="11" t="s">
        <v>262</v>
      </c>
      <c r="F35" s="2"/>
      <c r="G35" s="16">
        <v>43480</v>
      </c>
      <c r="H35" s="2"/>
      <c r="I35" s="2"/>
      <c r="J35" s="2"/>
      <c r="K35" s="2"/>
      <c r="L35" s="2"/>
      <c r="M35" s="2"/>
      <c r="N35" s="2"/>
      <c r="O35" s="2"/>
      <c r="P35" s="5"/>
    </row>
    <row r="36" spans="1:16" ht="45" x14ac:dyDescent="0.25">
      <c r="A36" s="58">
        <v>14</v>
      </c>
      <c r="B36" s="59" t="s">
        <v>124</v>
      </c>
      <c r="C36" s="5" t="s">
        <v>361</v>
      </c>
      <c r="D36" s="5" t="s">
        <v>360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/>
    </row>
    <row r="37" spans="1:16" ht="75" x14ac:dyDescent="0.25">
      <c r="A37" s="58"/>
      <c r="B37" s="59"/>
      <c r="C37" s="5" t="s">
        <v>358</v>
      </c>
      <c r="D37" s="5" t="s">
        <v>357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359</v>
      </c>
    </row>
    <row r="38" spans="1:16" x14ac:dyDescent="0.25">
      <c r="A38" s="58">
        <v>15</v>
      </c>
      <c r="B38" s="59" t="s">
        <v>125</v>
      </c>
      <c r="C38" s="5" t="s">
        <v>362</v>
      </c>
      <c r="D38" s="5" t="s">
        <v>254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</row>
    <row r="39" spans="1:16" x14ac:dyDescent="0.25">
      <c r="A39" s="58"/>
      <c r="B39" s="59"/>
      <c r="C39" s="5" t="s">
        <v>363</v>
      </c>
      <c r="D39" s="5" t="s">
        <v>254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/>
    </row>
    <row r="40" spans="1:16" ht="30" x14ac:dyDescent="0.25">
      <c r="A40" s="58"/>
      <c r="B40" s="59"/>
      <c r="C40" s="5" t="s">
        <v>364</v>
      </c>
      <c r="D40" s="5" t="s">
        <v>254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/>
    </row>
    <row r="41" spans="1:16" ht="30" x14ac:dyDescent="0.25">
      <c r="A41" s="58"/>
      <c r="B41" s="59"/>
      <c r="C41" s="5" t="s">
        <v>365</v>
      </c>
      <c r="D41" s="5" t="s">
        <v>254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366</v>
      </c>
    </row>
    <row r="42" spans="1:16" ht="30" x14ac:dyDescent="0.25">
      <c r="A42" s="58">
        <v>16</v>
      </c>
      <c r="B42" s="59" t="s">
        <v>127</v>
      </c>
      <c r="C42" s="5" t="s">
        <v>368</v>
      </c>
      <c r="D42" s="5" t="s">
        <v>369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370</v>
      </c>
    </row>
    <row r="43" spans="1:16" x14ac:dyDescent="0.25">
      <c r="A43" s="58"/>
      <c r="B43" s="59"/>
      <c r="C43" s="5" t="s">
        <v>362</v>
      </c>
      <c r="D43" s="5" t="s">
        <v>254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</row>
    <row r="44" spans="1:16" x14ac:dyDescent="0.25">
      <c r="A44" s="27">
        <v>17</v>
      </c>
      <c r="B44" s="2" t="s">
        <v>128</v>
      </c>
      <c r="C44" s="5" t="s">
        <v>371</v>
      </c>
      <c r="D44" s="5" t="s">
        <v>254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/>
    </row>
    <row r="45" spans="1:16" ht="30" customHeight="1" x14ac:dyDescent="0.25">
      <c r="A45" s="58">
        <v>18</v>
      </c>
      <c r="B45" s="62" t="s">
        <v>214</v>
      </c>
      <c r="C45" s="5" t="s">
        <v>372</v>
      </c>
      <c r="D45" s="5" t="s">
        <v>375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</row>
    <row r="46" spans="1:16" ht="30" customHeight="1" x14ac:dyDescent="0.25">
      <c r="A46" s="58"/>
      <c r="B46" s="62"/>
      <c r="C46" s="5" t="s">
        <v>373</v>
      </c>
      <c r="D46" s="5" t="s">
        <v>375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/>
    </row>
    <row r="47" spans="1:16" ht="30" x14ac:dyDescent="0.25">
      <c r="A47" s="58"/>
      <c r="B47" s="62"/>
      <c r="C47" s="5" t="s">
        <v>358</v>
      </c>
      <c r="D47" s="5" t="s">
        <v>375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/>
    </row>
    <row r="48" spans="1:16" ht="30" x14ac:dyDescent="0.25">
      <c r="A48" s="58"/>
      <c r="B48" s="62"/>
      <c r="C48" s="5" t="s">
        <v>374</v>
      </c>
      <c r="D48" s="5" t="s">
        <v>375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/>
    </row>
  </sheetData>
  <mergeCells count="25">
    <mergeCell ref="B42:B43"/>
    <mergeCell ref="A42:A43"/>
    <mergeCell ref="B45:B48"/>
    <mergeCell ref="A45:A48"/>
    <mergeCell ref="B34:B35"/>
    <mergeCell ref="A34:A35"/>
    <mergeCell ref="B36:B37"/>
    <mergeCell ref="A36:A37"/>
    <mergeCell ref="B38:B41"/>
    <mergeCell ref="A38:A41"/>
    <mergeCell ref="B27:B28"/>
    <mergeCell ref="A27:A28"/>
    <mergeCell ref="B32:B33"/>
    <mergeCell ref="A32:A33"/>
    <mergeCell ref="A1:E1"/>
    <mergeCell ref="B24:B26"/>
    <mergeCell ref="B22:B23"/>
    <mergeCell ref="A22:A23"/>
    <mergeCell ref="A24:A26"/>
    <mergeCell ref="B7:B14"/>
    <mergeCell ref="B4:B6"/>
    <mergeCell ref="A4:A6"/>
    <mergeCell ref="A7:A14"/>
    <mergeCell ref="B17:B20"/>
    <mergeCell ref="A17:A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377</v>
      </c>
    </row>
    <row r="2" spans="1:2" x14ac:dyDescent="0.25">
      <c r="A2" s="2">
        <v>1</v>
      </c>
      <c r="B2" s="2" t="s">
        <v>378</v>
      </c>
    </row>
    <row r="3" spans="1:2" x14ac:dyDescent="0.25">
      <c r="A3" s="2">
        <v>2</v>
      </c>
      <c r="B3" s="2" t="s">
        <v>379</v>
      </c>
    </row>
    <row r="4" spans="1:2" x14ac:dyDescent="0.25">
      <c r="A4" s="2">
        <v>3</v>
      </c>
      <c r="B4" s="2" t="s">
        <v>380</v>
      </c>
    </row>
    <row r="5" spans="1:2" x14ac:dyDescent="0.25">
      <c r="A5" s="2">
        <v>4</v>
      </c>
      <c r="B5" s="2" t="s">
        <v>381</v>
      </c>
    </row>
    <row r="6" spans="1:2" x14ac:dyDescent="0.25">
      <c r="A6" s="2">
        <v>5</v>
      </c>
      <c r="B6" s="2" t="s">
        <v>382</v>
      </c>
    </row>
    <row r="7" spans="1:2" x14ac:dyDescent="0.25">
      <c r="A7" s="2">
        <v>6</v>
      </c>
      <c r="B7" s="2" t="s">
        <v>383</v>
      </c>
    </row>
    <row r="8" spans="1:2" x14ac:dyDescent="0.25">
      <c r="A8" s="2">
        <v>7</v>
      </c>
      <c r="B8" s="2" t="s">
        <v>384</v>
      </c>
    </row>
    <row r="9" spans="1:2" x14ac:dyDescent="0.25">
      <c r="A9" s="2">
        <v>8</v>
      </c>
      <c r="B9" s="2" t="s">
        <v>385</v>
      </c>
    </row>
    <row r="10" spans="1:2" x14ac:dyDescent="0.25">
      <c r="A10" s="2">
        <v>9</v>
      </c>
      <c r="B10" s="2" t="s">
        <v>386</v>
      </c>
    </row>
    <row r="11" spans="1:2" x14ac:dyDescent="0.25">
      <c r="A11" s="2">
        <v>10</v>
      </c>
      <c r="B11" s="2" t="s">
        <v>387</v>
      </c>
    </row>
    <row r="12" spans="1:2" x14ac:dyDescent="0.25">
      <c r="A12" s="2">
        <v>11</v>
      </c>
      <c r="B12" s="2" t="s">
        <v>388</v>
      </c>
    </row>
    <row r="13" spans="1:2" x14ac:dyDescent="0.25">
      <c r="A13" s="2">
        <v>12</v>
      </c>
      <c r="B13" s="2" t="s">
        <v>389</v>
      </c>
    </row>
    <row r="14" spans="1:2" x14ac:dyDescent="0.25">
      <c r="A14" s="2">
        <v>13</v>
      </c>
      <c r="B14" s="2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R65"/>
  <sheetViews>
    <sheetView topLeftCell="A7" workbookViewId="0">
      <selection activeCell="D2" sqref="D1:AJ1048576"/>
    </sheetView>
  </sheetViews>
  <sheetFormatPr defaultRowHeight="15" x14ac:dyDescent="0.25"/>
  <cols>
    <col min="1" max="1" width="5.7109375" style="6" bestFit="1" customWidth="1"/>
    <col min="2" max="2" width="19.28515625" customWidth="1"/>
    <col min="3" max="3" width="12.140625" bestFit="1" customWidth="1"/>
    <col min="4" max="4" width="12.28515625" style="6" hidden="1" customWidth="1"/>
    <col min="5" max="5" width="8.28515625" style="6" hidden="1" customWidth="1"/>
    <col min="6" max="8" width="12.28515625" style="6" hidden="1" customWidth="1"/>
    <col min="9" max="12" width="9.7109375" style="6" hidden="1" customWidth="1"/>
    <col min="13" max="36" width="12.28515625" hidden="1" customWidth="1"/>
    <col min="37" max="38" width="12.28515625" customWidth="1"/>
  </cols>
  <sheetData>
    <row r="1" spans="1:44" ht="15" customHeight="1" x14ac:dyDescent="0.25">
      <c r="A1" s="56" t="s">
        <v>0</v>
      </c>
      <c r="B1" s="56" t="s">
        <v>1</v>
      </c>
      <c r="C1" s="64" t="s">
        <v>5</v>
      </c>
      <c r="D1" s="53" t="s">
        <v>206</v>
      </c>
      <c r="E1" s="49"/>
      <c r="F1" s="49"/>
      <c r="G1" s="49"/>
      <c r="H1" s="49"/>
      <c r="I1" s="49"/>
      <c r="J1" s="49"/>
      <c r="K1" s="49"/>
      <c r="L1" s="50"/>
      <c r="M1" s="56" t="s">
        <v>625</v>
      </c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64" t="s">
        <v>668</v>
      </c>
      <c r="AM1" s="64" t="s">
        <v>644</v>
      </c>
    </row>
    <row r="2" spans="1:44" ht="60" x14ac:dyDescent="0.25">
      <c r="A2" s="56"/>
      <c r="B2" s="56"/>
      <c r="C2" s="64"/>
      <c r="D2" s="1" t="s">
        <v>655</v>
      </c>
      <c r="E2" s="1" t="s">
        <v>645</v>
      </c>
      <c r="F2" s="1" t="s">
        <v>31</v>
      </c>
      <c r="G2" s="1" t="s">
        <v>646</v>
      </c>
      <c r="H2" s="1" t="s">
        <v>659</v>
      </c>
      <c r="I2" s="4" t="s">
        <v>651</v>
      </c>
      <c r="J2" s="4" t="s">
        <v>652</v>
      </c>
      <c r="K2" s="4" t="s">
        <v>653</v>
      </c>
      <c r="L2" s="4" t="s">
        <v>654</v>
      </c>
      <c r="M2" s="1" t="s">
        <v>626</v>
      </c>
      <c r="N2" s="1" t="s">
        <v>647</v>
      </c>
      <c r="O2" s="4" t="s">
        <v>627</v>
      </c>
      <c r="P2" s="4" t="s">
        <v>660</v>
      </c>
      <c r="Q2" s="4" t="s">
        <v>628</v>
      </c>
      <c r="R2" s="4" t="s">
        <v>661</v>
      </c>
      <c r="S2" s="4" t="s">
        <v>629</v>
      </c>
      <c r="T2" s="4" t="s">
        <v>648</v>
      </c>
      <c r="U2" s="4" t="s">
        <v>630</v>
      </c>
      <c r="V2" s="4" t="s">
        <v>662</v>
      </c>
      <c r="W2" s="4" t="s">
        <v>631</v>
      </c>
      <c r="X2" s="4" t="s">
        <v>663</v>
      </c>
      <c r="Y2" s="4" t="s">
        <v>632</v>
      </c>
      <c r="Z2" s="4" t="s">
        <v>649</v>
      </c>
      <c r="AA2" s="4" t="s">
        <v>633</v>
      </c>
      <c r="AB2" s="4" t="s">
        <v>664</v>
      </c>
      <c r="AC2" s="4" t="s">
        <v>634</v>
      </c>
      <c r="AD2" s="4" t="s">
        <v>665</v>
      </c>
      <c r="AE2" s="4" t="s">
        <v>635</v>
      </c>
      <c r="AF2" s="4" t="s">
        <v>650</v>
      </c>
      <c r="AG2" s="4" t="s">
        <v>636</v>
      </c>
      <c r="AH2" s="4" t="s">
        <v>666</v>
      </c>
      <c r="AI2" s="4" t="s">
        <v>637</v>
      </c>
      <c r="AJ2" s="4" t="s">
        <v>667</v>
      </c>
      <c r="AK2" s="41" t="s">
        <v>643</v>
      </c>
      <c r="AL2" s="64"/>
      <c r="AM2" s="64"/>
    </row>
    <row r="3" spans="1:44" x14ac:dyDescent="0.25">
      <c r="A3" s="14">
        <v>2</v>
      </c>
      <c r="B3" s="2" t="s">
        <v>7</v>
      </c>
      <c r="C3" s="2">
        <f>RANK(AM3,$AM$3:$AM$60,1)</f>
        <v>3</v>
      </c>
      <c r="D3" s="2">
        <v>46</v>
      </c>
      <c r="E3" s="2">
        <f xml:space="preserve"> ((D3 - $D$64)/($D$63 - $D$64))*100</f>
        <v>10.022271714922049</v>
      </c>
      <c r="F3" s="2">
        <v>3</v>
      </c>
      <c r="G3" s="2">
        <f xml:space="preserve"> ((F3 - $F$64)/($F$63 - $F$64))*100</f>
        <v>0.56818181818181823</v>
      </c>
      <c r="H3" s="2" t="b">
        <f>D3&lt;=F3</f>
        <v>0</v>
      </c>
      <c r="I3" s="44">
        <f>VLOOKUP(B3,Uni_TU_Lkp,6,FALSE)</f>
        <v>100</v>
      </c>
      <c r="J3" s="44">
        <f>VLOOKUP(B3,Uni_TU_Lkp,7,FALSE)</f>
        <v>82.4</v>
      </c>
      <c r="K3" s="44">
        <f>VLOOKUP(B3,Uni_TU_Lkp,8,FALSE)</f>
        <v>94</v>
      </c>
      <c r="L3" s="44">
        <f>VLOOKUP(B3,Uni_TU_Lkp,9,FALSE)</f>
        <v>94.8</v>
      </c>
      <c r="M3" s="11">
        <f>VLOOKUP(B3,AI_Rank,2,FALSE)</f>
        <v>1</v>
      </c>
      <c r="N3" s="2">
        <f xml:space="preserve"> ((M3 - $M$64)/($M$63 - $M$64))*100</f>
        <v>0</v>
      </c>
      <c r="O3" s="11">
        <f>VLOOKUP(B3,AI_Rank,3,FALSE)</f>
        <v>46.3</v>
      </c>
      <c r="P3" s="11">
        <f xml:space="preserve"> ((O3 - $O$64)/($O$63 - $O$64)) * 100</f>
        <v>100</v>
      </c>
      <c r="Q3" s="11">
        <f>VLOOKUP(B3,AI_Rank,4,FALSE)</f>
        <v>69</v>
      </c>
      <c r="R3" s="11">
        <f xml:space="preserve"> ((Q3 - $Q$64)/($Q$63 - $Q$64)) * 100</f>
        <v>100</v>
      </c>
      <c r="S3" s="11">
        <f>VLOOKUP(B3,Theory_Rank,2,FALSE)</f>
        <v>1</v>
      </c>
      <c r="T3" s="2">
        <f xml:space="preserve"> ((S3 - $S$64)/($S$63 - $S$64))*100</f>
        <v>0</v>
      </c>
      <c r="U3" s="11">
        <f>VLOOKUP(B3,Theory_Rank,3,FALSE)</f>
        <v>12.8</v>
      </c>
      <c r="V3" s="11">
        <f xml:space="preserve"> ((U3 - $U$64)/($U$63 - $U$64)) * 100</f>
        <v>100</v>
      </c>
      <c r="W3" s="11">
        <f>VLOOKUP(B3,Theory_Rank,4,FALSE)</f>
        <v>22</v>
      </c>
      <c r="X3" s="11">
        <f xml:space="preserve"> ((W3 - $W$64)/($W$63 - $W$64)) * 100</f>
        <v>95.652173913043484</v>
      </c>
      <c r="Y3" s="11">
        <f>VLOOKUP(B3,Systems_Rank,2,FALSE)</f>
        <v>4</v>
      </c>
      <c r="Z3" s="2">
        <f xml:space="preserve"> ((Y3 - $Y$64)/($Y$63 - $Y$64))*100</f>
        <v>2.7027027027027026</v>
      </c>
      <c r="AA3" s="11">
        <f>VLOOKUP(B3,Systems_Rank,3,FALSE)</f>
        <v>6</v>
      </c>
      <c r="AB3" s="11">
        <f xml:space="preserve"> ((AA3 - $AA$64)/($AA$63 - $AA$64)) * 100</f>
        <v>84.507042253521135</v>
      </c>
      <c r="AC3" s="11">
        <f>VLOOKUP(B3,Systems_Rank,4,FALSE)</f>
        <v>62</v>
      </c>
      <c r="AD3" s="11">
        <f xml:space="preserve"> ((AC3 - $AC$64)/($AC$63 - $AC$64)) * 100</f>
        <v>100</v>
      </c>
      <c r="AE3" s="11">
        <f>VLOOKUP(B3,InterD_Rank,2,FALSE)</f>
        <v>2</v>
      </c>
      <c r="AF3" s="2">
        <f xml:space="preserve"> ((AE3 - $AE$64)/($AE$63 - $AE$64))*100</f>
        <v>0.94339622641509435</v>
      </c>
      <c r="AG3" s="11">
        <f>VLOOKUP(B3,InterD_Rank,3,FALSE)</f>
        <v>17</v>
      </c>
      <c r="AH3" s="11">
        <f xml:space="preserve"> ((AG3 - $AG$64)/($AG$63 - $AG$64)) * 100</f>
        <v>97.142857142857139</v>
      </c>
      <c r="AI3" s="11">
        <f>VLOOKUP(B3,InterD_Rank,4,FALSE)</f>
        <v>60</v>
      </c>
      <c r="AJ3" s="11">
        <f xml:space="preserve"> ((AI3 - $AI$64)/($AI$63 - $AI$64)) * 100</f>
        <v>100</v>
      </c>
      <c r="AK3" s="2">
        <f xml:space="preserve"> 0.5 * N3 + 0.2 * T3 + 0.15 * Z3 + 0.15 * AF3</f>
        <v>0.54691483936766949</v>
      </c>
      <c r="AL3" s="2">
        <f>0.5*((I3+K3+L3)/3) + 0.5 * ((0.6 *((P3 + R3)/2)) + (0.2 * ((T3 + V3)/2)) + (0.1 * ((AB3 + AD3)/2)) + (0.1 * ((AH3 + AJ3)/2)))</f>
        <v>92.674580818242788</v>
      </c>
      <c r="AM3" s="2">
        <f xml:space="preserve"> 0.2 * E3 + 0.4 * G3 + 0.4 * AK3</f>
        <v>2.4504930060042049</v>
      </c>
    </row>
    <row r="4" spans="1:44" x14ac:dyDescent="0.25">
      <c r="A4" s="14">
        <f>A3+1</f>
        <v>3</v>
      </c>
      <c r="B4" s="2" t="s">
        <v>405</v>
      </c>
      <c r="C4" s="2">
        <f>RANK(AM4,$AM$3:$AM$60,1)</f>
        <v>4</v>
      </c>
      <c r="D4" s="2">
        <v>27</v>
      </c>
      <c r="E4" s="2">
        <f xml:space="preserve"> ((D4 - $D$64)/($D$63 - $D$64))*100</f>
        <v>5.7906458797327396</v>
      </c>
      <c r="F4" s="2">
        <v>4</v>
      </c>
      <c r="G4" s="2">
        <f xml:space="preserve"> ((F4 - $F$64)/($F$63 - $F$64))*100</f>
        <v>0.85227272727272718</v>
      </c>
      <c r="H4" s="2" t="b">
        <f>D4&lt;=F4</f>
        <v>0</v>
      </c>
      <c r="I4" s="44">
        <f>VLOOKUP(B4,Uni_TU_Lkp,6,FALSE)</f>
        <v>85.7</v>
      </c>
      <c r="J4" s="44">
        <f>VLOOKUP(B4,Uni_TU_Lkp,7,FALSE)</f>
        <v>89</v>
      </c>
      <c r="K4" s="44">
        <f>VLOOKUP(B4,Uni_TU_Lkp,8,FALSE)</f>
        <v>93.3</v>
      </c>
      <c r="L4" s="44">
        <f>VLOOKUP(B4,Uni_TU_Lkp,9,FALSE)</f>
        <v>98.4</v>
      </c>
      <c r="M4" s="11">
        <f>VLOOKUP(B4,AI_Rank,2,FALSE)</f>
        <v>11</v>
      </c>
      <c r="N4" s="2">
        <f xml:space="preserve"> ((M4 - $M$64)/($M$63 - $M$64))*100</f>
        <v>5.5555555555555554</v>
      </c>
      <c r="O4" s="11">
        <f>VLOOKUP(B4,AI_Rank,3,FALSE)</f>
        <v>13</v>
      </c>
      <c r="P4" s="11">
        <f xml:space="preserve"> ((O4 - $O$64)/($O$63 - $O$64)) * 100</f>
        <v>28.077753779697627</v>
      </c>
      <c r="Q4" s="11">
        <f>VLOOKUP(B4,AI_Rank,4,FALSE)</f>
        <v>37</v>
      </c>
      <c r="R4" s="11">
        <f xml:space="preserve"> ((Q4 - $Q$64)/($Q$63 - $Q$64)) * 100</f>
        <v>52.238805970149251</v>
      </c>
      <c r="S4" s="11">
        <f>VLOOKUP(B4,Theory_Rank,2,FALSE)</f>
        <v>7</v>
      </c>
      <c r="T4" s="2">
        <f xml:space="preserve"> ((S4 - $S$64)/($S$63 - $S$64))*100</f>
        <v>3.1413612565445024</v>
      </c>
      <c r="U4" s="11">
        <f>VLOOKUP(B4,Theory_Rank,3,FALSE)</f>
        <v>8.8000000000000007</v>
      </c>
      <c r="V4" s="11">
        <f xml:space="preserve"> ((U4 - $U$64)/($U$63 - $U$64)) * 100</f>
        <v>68.75</v>
      </c>
      <c r="W4" s="11">
        <f>VLOOKUP(B4,Theory_Rank,4,FALSE)</f>
        <v>15</v>
      </c>
      <c r="X4" s="11">
        <f xml:space="preserve"> ((W4 - $W$64)/($W$63 - $W$64)) * 100</f>
        <v>65.217391304347828</v>
      </c>
      <c r="Y4" s="11">
        <f>VLOOKUP(B4,Systems_Rank,2,FALSE)</f>
        <v>5</v>
      </c>
      <c r="Z4" s="2">
        <f xml:space="preserve"> ((Y4 - $Y$64)/($Y$63 - $Y$64))*100</f>
        <v>3.6036036036036037</v>
      </c>
      <c r="AA4" s="11">
        <f>VLOOKUP(B4,Systems_Rank,3,FALSE)</f>
        <v>5.7</v>
      </c>
      <c r="AB4" s="11">
        <f xml:space="preserve"> ((AA4 - $AA$64)/($AA$63 - $AA$64)) * 100</f>
        <v>80.281690140845072</v>
      </c>
      <c r="AC4" s="11">
        <f>VLOOKUP(B4,Systems_Rank,4,FALSE)</f>
        <v>39</v>
      </c>
      <c r="AD4" s="11">
        <f xml:space="preserve"> ((AC4 - $AC$64)/($AC$63 - $AC$64)) * 100</f>
        <v>62.903225806451616</v>
      </c>
      <c r="AE4" s="11">
        <f>VLOOKUP(B4,InterD_Rank,2,FALSE)</f>
        <v>5</v>
      </c>
      <c r="AF4" s="2">
        <f xml:space="preserve"> ((AE4 - $AE$64)/($AE$63 - $AE$64))*100</f>
        <v>3.7735849056603774</v>
      </c>
      <c r="AG4" s="11">
        <f>VLOOKUP(B4,InterD_Rank,3,FALSE)</f>
        <v>10.8</v>
      </c>
      <c r="AH4" s="11">
        <f xml:space="preserve"> ((AG4 - $AG$64)/($AG$63 - $AG$64)) * 100</f>
        <v>61.714285714285722</v>
      </c>
      <c r="AI4" s="11">
        <f>VLOOKUP(B4,InterD_Rank,4,FALSE)</f>
        <v>27</v>
      </c>
      <c r="AJ4" s="11">
        <f xml:space="preserve"> ((AI4 - $AI$64)/($AI$63 - $AI$64)) * 100</f>
        <v>45</v>
      </c>
      <c r="AK4" s="2">
        <f xml:space="preserve"> 0.5 * N4 + 0.2 * T4 + 0.15 * Z4 + 0.15 * AF4</f>
        <v>4.5126283054762757</v>
      </c>
      <c r="AL4" s="2">
        <f>0.5*((I4+K4+L4)/3) + 0.5 * ((0.6 *((P4 + R4)/2)) + (0.2 * ((T4 + V4)/2)) + (0.1 * ((AB4 + AD4)/2)) + (0.1 * ((AH4 + AJ4)/2)))</f>
        <v>68.122865400177147</v>
      </c>
      <c r="AM4" s="2">
        <f xml:space="preserve"> 0.2 * E4 + 0.4 * G4 + 0.4 * AK4</f>
        <v>3.304089589046149</v>
      </c>
    </row>
    <row r="5" spans="1:44" x14ac:dyDescent="0.25">
      <c r="A5" s="14">
        <v>5</v>
      </c>
      <c r="B5" s="2" t="s">
        <v>211</v>
      </c>
      <c r="C5" s="2">
        <f>RANK(AM5,$AM$3:$AM$60,1)</f>
        <v>7</v>
      </c>
      <c r="D5" s="2">
        <v>69</v>
      </c>
      <c r="E5" s="2">
        <f xml:space="preserve"> ((D5 - $D$64)/($D$63 - $D$64))*100</f>
        <v>15.144766146993319</v>
      </c>
      <c r="F5" s="2">
        <v>21</v>
      </c>
      <c r="G5" s="2">
        <f xml:space="preserve"> ((F5 - $F$64)/($F$63 - $F$64))*100</f>
        <v>5.6818181818181817</v>
      </c>
      <c r="H5" s="2" t="b">
        <f>D5&lt;=F5</f>
        <v>0</v>
      </c>
      <c r="I5" s="44">
        <f>VLOOKUP(B5,Uni_TU_Lkp,6,FALSE)</f>
        <v>75.2</v>
      </c>
      <c r="J5" s="44">
        <f>VLOOKUP(B5,Uni_TU_Lkp,7,FALSE)</f>
        <v>79.3</v>
      </c>
      <c r="K5" s="44">
        <f>VLOOKUP(B5,Uni_TU_Lkp,8,FALSE)</f>
        <v>91.8</v>
      </c>
      <c r="L5" s="44">
        <f>VLOOKUP(B5,Uni_TU_Lkp,9,FALSE)</f>
        <v>91.4</v>
      </c>
      <c r="M5" s="11">
        <f>VLOOKUP(B5,AI_Rank,2,FALSE)</f>
        <v>7</v>
      </c>
      <c r="N5" s="2">
        <f xml:space="preserve"> ((M5 - $M$64)/($M$63 - $M$64))*100</f>
        <v>3.3333333333333335</v>
      </c>
      <c r="O5" s="11">
        <f>VLOOKUP(B5,AI_Rank,3,FALSE)</f>
        <v>17.3</v>
      </c>
      <c r="P5" s="11">
        <f xml:space="preserve"> ((O5 - $O$64)/($O$63 - $O$64)) * 100</f>
        <v>37.365010799136073</v>
      </c>
      <c r="Q5" s="11">
        <f>VLOOKUP(B5,AI_Rank,4,FALSE)</f>
        <v>32</v>
      </c>
      <c r="R5" s="11">
        <f xml:space="preserve"> ((Q5 - $Q$64)/($Q$63 - $Q$64)) * 100</f>
        <v>44.776119402985074</v>
      </c>
      <c r="S5" s="11">
        <f>VLOOKUP(B5,Theory_Rank,2,FALSE)</f>
        <v>40</v>
      </c>
      <c r="T5" s="2">
        <f xml:space="preserve"> ((S5 - $S$64)/($S$63 - $S$64))*100</f>
        <v>20.418848167539267</v>
      </c>
      <c r="U5" s="11">
        <f>VLOOKUP(B5,Theory_Rank,3,FALSE)</f>
        <v>3.4</v>
      </c>
      <c r="V5" s="11">
        <f xml:space="preserve"> ((U5 - $U$64)/($U$63 - $U$64)) * 100</f>
        <v>26.5625</v>
      </c>
      <c r="W5" s="11">
        <f>VLOOKUP(B5,Theory_Rank,4,FALSE)</f>
        <v>7</v>
      </c>
      <c r="X5" s="11">
        <f xml:space="preserve"> ((W5 - $W$64)/($W$63 - $W$64)) * 100</f>
        <v>30.434782608695656</v>
      </c>
      <c r="Y5" s="11">
        <f>VLOOKUP(B5,Systems_Rank,2,FALSE)</f>
        <v>20</v>
      </c>
      <c r="Z5" s="2">
        <f xml:space="preserve"> ((Y5 - $Y$64)/($Y$63 - $Y$64))*100</f>
        <v>17.117117117117118</v>
      </c>
      <c r="AA5" s="11">
        <f>VLOOKUP(B5,Systems_Rank,3,FALSE)</f>
        <v>2.8</v>
      </c>
      <c r="AB5" s="11">
        <f xml:space="preserve"> ((AA5 - $AA$64)/($AA$63 - $AA$64)) * 100</f>
        <v>39.436619718309856</v>
      </c>
      <c r="AC5" s="11">
        <f>VLOOKUP(B5,Systems_Rank,4,FALSE)</f>
        <v>33</v>
      </c>
      <c r="AD5" s="11">
        <f xml:space="preserve"> ((AC5 - $AC$64)/($AC$63 - $AC$64)) * 100</f>
        <v>53.225806451612897</v>
      </c>
      <c r="AE5" s="11">
        <f>VLOOKUP(B5,InterD_Rank,2,FALSE)</f>
        <v>3</v>
      </c>
      <c r="AF5" s="2">
        <f xml:space="preserve"> ((AE5 - $AE$64)/($AE$63 - $AE$64))*100</f>
        <v>1.8867924528301887</v>
      </c>
      <c r="AG5" s="11">
        <f>VLOOKUP(B5,InterD_Rank,3,FALSE)</f>
        <v>15.7</v>
      </c>
      <c r="AH5" s="11">
        <f xml:space="preserve"> ((AG5 - $AG$64)/($AG$63 - $AG$64)) * 100</f>
        <v>89.714285714285708</v>
      </c>
      <c r="AI5" s="11">
        <f>VLOOKUP(B5,InterD_Rank,4,FALSE)</f>
        <v>35</v>
      </c>
      <c r="AJ5" s="11">
        <f xml:space="preserve"> ((AI5 - $AI$64)/($AI$63 - $AI$64)) * 100</f>
        <v>58.333333333333336</v>
      </c>
      <c r="AK5" s="2">
        <f xml:space="preserve"> 0.5 * N5 + 0.2 * T5 + 0.15 * Z5 + 0.15 * AF5</f>
        <v>8.6010227356666178</v>
      </c>
      <c r="AL5" s="2">
        <f>0.5*((I5+K5+L5)/3) + 0.5 * ((0.6 *((P5 + R5)/2)) + (0.2 * ((T5 + V5)/2)) + (0.1 * ((AB5 + AD5)/2)) + (0.1 * ((AH5 + AJ5)/2)))</f>
        <v>63.754654735800344</v>
      </c>
      <c r="AM5" s="2">
        <f xml:space="preserve"> 0.2 * E5 + 0.4 * G5 + 0.4 * AK5</f>
        <v>8.7420895963925833</v>
      </c>
    </row>
    <row r="6" spans="1:44" x14ac:dyDescent="0.25">
      <c r="A6" s="14">
        <f>A5+1</f>
        <v>6</v>
      </c>
      <c r="B6" s="2" t="s">
        <v>119</v>
      </c>
      <c r="C6" s="2">
        <f>RANK(AM6,$AM$3:$AM$60,1)</f>
        <v>10</v>
      </c>
      <c r="D6" s="2">
        <v>66</v>
      </c>
      <c r="E6" s="2">
        <f xml:space="preserve"> ((D6 - $D$64)/($D$63 - $D$64))*100</f>
        <v>14.476614699331849</v>
      </c>
      <c r="F6" s="2">
        <v>18</v>
      </c>
      <c r="G6" s="2">
        <f xml:space="preserve"> ((F6 - $F$64)/($F$63 - $F$64))*100</f>
        <v>4.8295454545454541</v>
      </c>
      <c r="H6" s="2" t="b">
        <f>D6&lt;=F6</f>
        <v>0</v>
      </c>
      <c r="I6" s="44">
        <f>VLOOKUP(B6,Uni_TU_Lkp,6,FALSE)</f>
        <v>79.3</v>
      </c>
      <c r="J6" s="44">
        <f>VLOOKUP(B6,Uni_TU_Lkp,7,FALSE)</f>
        <v>71.7</v>
      </c>
      <c r="K6" s="44">
        <f>VLOOKUP(B6,Uni_TU_Lkp,8,FALSE)</f>
        <v>90.2</v>
      </c>
      <c r="L6" s="44">
        <f>VLOOKUP(B6,Uni_TU_Lkp,9,FALSE)</f>
        <v>98.8</v>
      </c>
      <c r="M6" s="11">
        <f>VLOOKUP(B6,AI_Rank,2,FALSE)</f>
        <v>26</v>
      </c>
      <c r="N6" s="2">
        <f xml:space="preserve"> ((M6 - $M$64)/($M$63 - $M$64))*100</f>
        <v>13.888888888888889</v>
      </c>
      <c r="O6" s="11">
        <f>VLOOKUP(B6,AI_Rank,3,FALSE)</f>
        <v>9</v>
      </c>
      <c r="P6" s="11">
        <f xml:space="preserve"> ((O6 - $O$64)/($O$63 - $O$64)) * 100</f>
        <v>19.438444924406049</v>
      </c>
      <c r="Q6" s="11">
        <f>VLOOKUP(B6,AI_Rank,4,FALSE)</f>
        <v>26</v>
      </c>
      <c r="R6" s="11">
        <f xml:space="preserve"> ((Q6 - $Q$64)/($Q$63 - $Q$64)) * 100</f>
        <v>35.820895522388057</v>
      </c>
      <c r="S6" s="11">
        <f>VLOOKUP(B6,Theory_Rank,2,FALSE)</f>
        <v>33</v>
      </c>
      <c r="T6" s="2">
        <f xml:space="preserve"> ((S6 - $S$64)/($S$63 - $S$64))*100</f>
        <v>16.753926701570681</v>
      </c>
      <c r="U6" s="11">
        <f>VLOOKUP(B6,Theory_Rank,3,FALSE)</f>
        <v>3.8</v>
      </c>
      <c r="V6" s="11">
        <f xml:space="preserve"> ((U6 - $U$64)/($U$63 - $U$64)) * 100</f>
        <v>29.687499999999993</v>
      </c>
      <c r="W6" s="11">
        <f>VLOOKUP(B6,Theory_Rank,4,FALSE)</f>
        <v>13</v>
      </c>
      <c r="X6" s="11">
        <f xml:space="preserve"> ((W6 - $W$64)/($W$63 - $W$64)) * 100</f>
        <v>56.521739130434781</v>
      </c>
      <c r="Y6" s="11">
        <f>VLOOKUP(B6,Systems_Rank,2,FALSE)</f>
        <v>7</v>
      </c>
      <c r="Z6" s="2">
        <f xml:space="preserve"> ((Y6 - $Y$64)/($Y$63 - $Y$64))*100</f>
        <v>5.4054054054054053</v>
      </c>
      <c r="AA6" s="11">
        <f>VLOOKUP(B6,Systems_Rank,3,FALSE)</f>
        <v>4.3</v>
      </c>
      <c r="AB6" s="11">
        <f xml:space="preserve"> ((AA6 - $AA$64)/($AA$63 - $AA$64)) * 100</f>
        <v>60.563380281690137</v>
      </c>
      <c r="AC6" s="11">
        <f>VLOOKUP(B6,Systems_Rank,4,FALSE)</f>
        <v>22</v>
      </c>
      <c r="AD6" s="11">
        <f xml:space="preserve"> ((AC6 - $AC$64)/($AC$63 - $AC$64)) * 100</f>
        <v>35.483870967741936</v>
      </c>
      <c r="AE6" s="11">
        <f>VLOOKUP(B6,InterD_Rank,2,FALSE)</f>
        <v>1</v>
      </c>
      <c r="AF6" s="2">
        <f xml:space="preserve"> ((AE6 - $AE$64)/($AE$63 - $AE$64))*100</f>
        <v>0</v>
      </c>
      <c r="AG6" s="11">
        <f>VLOOKUP(B6,InterD_Rank,3,FALSE)</f>
        <v>17.5</v>
      </c>
      <c r="AH6" s="11">
        <f xml:space="preserve"> ((AG6 - $AG$64)/($AG$63 - $AG$64)) * 100</f>
        <v>100</v>
      </c>
      <c r="AI6" s="11">
        <f>VLOOKUP(B6,InterD_Rank,4,FALSE)</f>
        <v>26</v>
      </c>
      <c r="AJ6" s="11">
        <f xml:space="preserve"> ((AI6 - $AI$64)/($AI$63 - $AI$64)) * 100</f>
        <v>43.333333333333336</v>
      </c>
      <c r="AK6" s="2">
        <f xml:space="preserve"> 0.5 * N6 + 0.2 * T6 + 0.15 * Z6 + 0.15 * AF6</f>
        <v>11.106040595569391</v>
      </c>
      <c r="AL6" s="2">
        <f>0.5*((I6+K6+L6)/3) + 0.5 * ((0.6 *((P6 + R6)/2)) + (0.2 * ((T6 + V6)/2)) + (0.1 * ((AB6 + AD6)/2)) + (0.1 * ((AH6 + AJ6)/2)))</f>
        <v>61.312153683333449</v>
      </c>
      <c r="AM6" s="2">
        <f xml:space="preserve"> 0.2 * E6 + 0.4 * G6 + 0.4 * AK6</f>
        <v>9.2695573599123087</v>
      </c>
    </row>
    <row r="7" spans="1:44" x14ac:dyDescent="0.25">
      <c r="A7" s="14">
        <f>A6+1</f>
        <v>7</v>
      </c>
      <c r="B7" s="2" t="s">
        <v>122</v>
      </c>
      <c r="C7" s="2">
        <f>RANK(AM7,$AM$3:$AM$60,1)</f>
        <v>11</v>
      </c>
      <c r="D7" s="2">
        <v>71</v>
      </c>
      <c r="E7" s="2">
        <f xml:space="preserve"> ((D7 - $D$64)/($D$63 - $D$64))*100</f>
        <v>15.590200445434299</v>
      </c>
      <c r="F7" s="2">
        <v>28</v>
      </c>
      <c r="G7" s="2">
        <f xml:space="preserve"> ((F7 - $F$64)/($F$63 - $F$64))*100</f>
        <v>7.6704545454545459</v>
      </c>
      <c r="H7" s="2" t="b">
        <f>D7&lt;=F7</f>
        <v>0</v>
      </c>
      <c r="I7" s="44">
        <f>VLOOKUP(B7,Uni_TU_Lkp,6,FALSE)</f>
        <v>75.3</v>
      </c>
      <c r="J7" s="44">
        <f>VLOOKUP(B7,Uni_TU_Lkp,7,FALSE)</f>
        <v>73.900000000000006</v>
      </c>
      <c r="K7" s="44">
        <f>VLOOKUP(B7,Uni_TU_Lkp,8,FALSE)</f>
        <v>90.6</v>
      </c>
      <c r="L7" s="44">
        <f>VLOOKUP(B7,Uni_TU_Lkp,9,FALSE)</f>
        <v>94.7</v>
      </c>
      <c r="M7" s="11">
        <f>VLOOKUP(B7,AI_Rank,2,FALSE)</f>
        <v>18</v>
      </c>
      <c r="N7" s="2">
        <f xml:space="preserve"> ((M7 - $M$64)/($M$63 - $M$64))*100</f>
        <v>9.4444444444444446</v>
      </c>
      <c r="O7" s="11">
        <f>VLOOKUP(B7,AI_Rank,3,FALSE)</f>
        <v>10.9</v>
      </c>
      <c r="P7" s="11">
        <f xml:space="preserve"> ((O7 - $O$64)/($O$63 - $O$64)) * 100</f>
        <v>23.54211663066955</v>
      </c>
      <c r="Q7" s="11">
        <f>VLOOKUP(B7,AI_Rank,4,FALSE)</f>
        <v>31</v>
      </c>
      <c r="R7" s="11">
        <f xml:space="preserve"> ((Q7 - $Q$64)/($Q$63 - $Q$64)) * 100</f>
        <v>43.283582089552233</v>
      </c>
      <c r="S7" s="11">
        <f>VLOOKUP(B7,Theory_Rank,2,FALSE)</f>
        <v>20</v>
      </c>
      <c r="T7" s="2">
        <f xml:space="preserve"> ((S7 - $S$64)/($S$63 - $S$64))*100</f>
        <v>9.9476439790575917</v>
      </c>
      <c r="U7" s="11">
        <f>VLOOKUP(B7,Theory_Rank,3,FALSE)</f>
        <v>5.6</v>
      </c>
      <c r="V7" s="11">
        <f xml:space="preserve"> ((U7 - $U$64)/($U$63 - $U$64)) * 100</f>
        <v>43.749999999999993</v>
      </c>
      <c r="W7" s="11">
        <f>VLOOKUP(B7,Theory_Rank,4,FALSE)</f>
        <v>16</v>
      </c>
      <c r="X7" s="11">
        <f xml:space="preserve"> ((W7 - $W$64)/($W$63 - $W$64)) * 100</f>
        <v>69.565217391304344</v>
      </c>
      <c r="Y7" s="11">
        <f>VLOOKUP(B7,Systems_Rank,2,FALSE)</f>
        <v>1</v>
      </c>
      <c r="Z7" s="2">
        <f xml:space="preserve"> ((Y7 - $Y$64)/($Y$63 - $Y$64))*100</f>
        <v>0</v>
      </c>
      <c r="AA7" s="11">
        <f>VLOOKUP(B7,Systems_Rank,3,FALSE)</f>
        <v>7.1</v>
      </c>
      <c r="AB7" s="11">
        <f xml:space="preserve"> ((AA7 - $AA$64)/($AA$63 - $AA$64)) * 100</f>
        <v>100</v>
      </c>
      <c r="AC7" s="11">
        <f>VLOOKUP(B7,Systems_Rank,4,FALSE)</f>
        <v>49</v>
      </c>
      <c r="AD7" s="11">
        <f xml:space="preserve"> ((AC7 - $AC$64)/($AC$63 - $AC$64)) * 100</f>
        <v>79.032258064516128</v>
      </c>
      <c r="AE7" s="11">
        <f>VLOOKUP(B7,InterD_Rank,2,FALSE)</f>
        <v>9</v>
      </c>
      <c r="AF7" s="2">
        <f xml:space="preserve"> ((AE7 - $AE$64)/($AE$63 - $AE$64))*100</f>
        <v>7.5471698113207548</v>
      </c>
      <c r="AG7" s="11">
        <f>VLOOKUP(B7,InterD_Rank,3,FALSE)</f>
        <v>7.8</v>
      </c>
      <c r="AH7" s="11">
        <f xml:space="preserve"> ((AG7 - $AG$64)/($AG$63 - $AG$64)) * 100</f>
        <v>44.571428571428569</v>
      </c>
      <c r="AI7" s="11">
        <f>VLOOKUP(B7,InterD_Rank,4,FALSE)</f>
        <v>20</v>
      </c>
      <c r="AJ7" s="11">
        <f xml:space="preserve"> ((AI7 - $AI$64)/($AI$63 - $AI$64)) * 100</f>
        <v>33.333333333333329</v>
      </c>
      <c r="AK7" s="2">
        <f xml:space="preserve"> 0.5 * N7 + 0.2 * T7 + 0.15 * Z7 + 0.15 * AF7</f>
        <v>7.8438264897318541</v>
      </c>
      <c r="AL7" s="2">
        <f>0.5*((I7+K7+L7)/3) + 0.5 * ((0.6 *((P7 + R7)/2)) + (0.2 * ((T7 + V7)/2)) + (0.1 * ((AB7 + AD7)/2)) + (0.1 * ((AH7 + AJ7)/2)))</f>
        <v>62.565495839551424</v>
      </c>
      <c r="AM7" s="2">
        <f xml:space="preserve"> 0.2 * E7 + 0.4 * G7 + 0.4 * AK7</f>
        <v>9.323752503161419</v>
      </c>
    </row>
    <row r="8" spans="1:44" x14ac:dyDescent="0.25">
      <c r="A8" s="14">
        <f>A7+1</f>
        <v>8</v>
      </c>
      <c r="B8" s="2" t="s">
        <v>410</v>
      </c>
      <c r="C8" s="2">
        <f>RANK(AM8,$AM$3:$AM$60,1)</f>
        <v>12</v>
      </c>
      <c r="D8" s="2">
        <v>32</v>
      </c>
      <c r="E8" s="2">
        <f xml:space="preserve"> ((D8 - $D$64)/($D$63 - $D$64))*100</f>
        <v>6.9042316258351892</v>
      </c>
      <c r="F8" s="2">
        <v>13</v>
      </c>
      <c r="G8" s="2">
        <f xml:space="preserve"> ((F8 - $F$64)/($F$63 - $F$64))*100</f>
        <v>3.4090909090909087</v>
      </c>
      <c r="H8" s="2" t="b">
        <f>D8&lt;=F8</f>
        <v>0</v>
      </c>
      <c r="I8" s="44">
        <f>VLOOKUP(B8,Uni_TU_Lkp,6,FALSE)</f>
        <v>77.3</v>
      </c>
      <c r="J8" s="44">
        <f>VLOOKUP(B8,Uni_TU_Lkp,7,FALSE)</f>
        <v>85.9</v>
      </c>
      <c r="K8" s="44">
        <f>VLOOKUP(B8,Uni_TU_Lkp,8,FALSE)</f>
        <v>84.6</v>
      </c>
      <c r="L8" s="44">
        <f>VLOOKUP(B8,Uni_TU_Lkp,9,FALSE)</f>
        <v>92.3</v>
      </c>
      <c r="M8" s="11">
        <f>VLOOKUP(B8,AI_Rank,2,FALSE)</f>
        <v>20</v>
      </c>
      <c r="N8" s="2">
        <f xml:space="preserve"> ((M8 - $M$64)/($M$63 - $M$64))*100</f>
        <v>10.555555555555555</v>
      </c>
      <c r="O8" s="11">
        <f>VLOOKUP(B8,AI_Rank,3,FALSE)</f>
        <v>10.7</v>
      </c>
      <c r="P8" s="11">
        <f xml:space="preserve"> ((O8 - $O$64)/($O$63 - $O$64)) * 100</f>
        <v>23.110151187904968</v>
      </c>
      <c r="Q8" s="11">
        <f>VLOOKUP(B8,AI_Rank,4,FALSE)</f>
        <v>18</v>
      </c>
      <c r="R8" s="11">
        <f xml:space="preserve"> ((Q8 - $Q$64)/($Q$63 - $Q$64)) * 100</f>
        <v>23.880597014925371</v>
      </c>
      <c r="S8" s="11">
        <f>VLOOKUP(B8,Theory_Rank,2,FALSE)</f>
        <v>9</v>
      </c>
      <c r="T8" s="2">
        <f xml:space="preserve"> ((S8 - $S$64)/($S$63 - $S$64))*100</f>
        <v>4.1884816753926701</v>
      </c>
      <c r="U8" s="11">
        <f>VLOOKUP(B8,Theory_Rank,3,FALSE)</f>
        <v>8</v>
      </c>
      <c r="V8" s="11">
        <f xml:space="preserve"> ((U8 - $U$64)/($U$63 - $U$64)) * 100</f>
        <v>62.5</v>
      </c>
      <c r="W8" s="11">
        <f>VLOOKUP(B8,Theory_Rank,4,FALSE)</f>
        <v>6</v>
      </c>
      <c r="X8" s="11">
        <f xml:space="preserve"> ((W8 - $W$64)/($W$63 - $W$64)) * 100</f>
        <v>26.086956521739129</v>
      </c>
      <c r="Y8" s="11">
        <f>VLOOKUP(B8,Systems_Rank,2,FALSE)</f>
        <v>22</v>
      </c>
      <c r="Z8" s="2">
        <f xml:space="preserve"> ((Y8 - $Y$64)/($Y$63 - $Y$64))*100</f>
        <v>18.918918918918919</v>
      </c>
      <c r="AA8" s="11">
        <f>VLOOKUP(B8,Systems_Rank,3,FALSE)</f>
        <v>2.7</v>
      </c>
      <c r="AB8" s="11">
        <f xml:space="preserve"> ((AA8 - $AA$64)/($AA$63 - $AA$64)) * 100</f>
        <v>38.028169014084511</v>
      </c>
      <c r="AC8" s="11">
        <f>VLOOKUP(B8,Systems_Rank,4,FALSE)</f>
        <v>16</v>
      </c>
      <c r="AD8" s="11">
        <f xml:space="preserve"> ((AC8 - $AC$64)/($AC$63 - $AC$64)) * 100</f>
        <v>25.806451612903224</v>
      </c>
      <c r="AE8" s="11">
        <f>VLOOKUP(B8,InterD_Rank,2,FALSE)</f>
        <v>58</v>
      </c>
      <c r="AF8" s="2">
        <f xml:space="preserve"> ((AE8 - $AE$64)/($AE$63 - $AE$64))*100</f>
        <v>53.773584905660378</v>
      </c>
      <c r="AG8" s="11">
        <f>VLOOKUP(B8,InterD_Rank,3,FALSE)</f>
        <v>1.9</v>
      </c>
      <c r="AH8" s="11">
        <f xml:space="preserve"> ((AG8 - $AG$64)/($AG$63 - $AG$64)) * 100</f>
        <v>10.857142857142858</v>
      </c>
      <c r="AI8" s="11">
        <f>VLOOKUP(B8,InterD_Rank,4,FALSE)</f>
        <v>5</v>
      </c>
      <c r="AJ8" s="11">
        <f xml:space="preserve"> ((AI8 - $AI$64)/($AI$63 - $AI$64)) * 100</f>
        <v>8.3333333333333321</v>
      </c>
      <c r="AK8" s="2">
        <f xml:space="preserve"> 0.5 * N8 + 0.2 * T8 + 0.15 * Z8 + 0.15 * AF8</f>
        <v>17.019349686543208</v>
      </c>
      <c r="AL8" s="2">
        <f>0.5*((I8+K8+L8)/3) + 0.5 * ((0.6 *((P8 + R8)/2)) + (0.2 * ((T8 + V8)/2)) + (0.1 * ((AB8 + AD8)/2)) + (0.1 * ((AH8 + AJ8)/2)))</f>
        <v>54.82533040129745</v>
      </c>
      <c r="AM8" s="2">
        <f xml:space="preserve"> 0.2 * E8 + 0.4 * G8 + 0.4 * AK8</f>
        <v>9.5522225634206848</v>
      </c>
    </row>
    <row r="9" spans="1:44" x14ac:dyDescent="0.25">
      <c r="A9" s="14">
        <f>A8+1</f>
        <v>9</v>
      </c>
      <c r="B9" s="2" t="s">
        <v>121</v>
      </c>
      <c r="C9" s="2">
        <f>RANK(AM9,$AM$3:$AM$60,1)</f>
        <v>14</v>
      </c>
      <c r="D9" s="2">
        <v>63</v>
      </c>
      <c r="E9" s="2">
        <f xml:space="preserve"> ((D9 - $D$64)/($D$63 - $D$64))*100</f>
        <v>13.808463251670378</v>
      </c>
      <c r="F9" s="2">
        <v>27</v>
      </c>
      <c r="G9" s="2">
        <f xml:space="preserve"> ((F9 - $F$64)/($F$63 - $F$64))*100</f>
        <v>7.3863636363636367</v>
      </c>
      <c r="H9" s="2" t="b">
        <f>D9&lt;=F9</f>
        <v>0</v>
      </c>
      <c r="I9" s="44">
        <f>VLOOKUP(B9,Uni_TU_Lkp,6,FALSE)</f>
        <v>93</v>
      </c>
      <c r="J9" s="44">
        <f>VLOOKUP(B9,Uni_TU_Lkp,7,FALSE)</f>
        <v>74.7</v>
      </c>
      <c r="K9" s="44">
        <f>VLOOKUP(B9,Uni_TU_Lkp,8,FALSE)</f>
        <v>100</v>
      </c>
      <c r="L9" s="44">
        <f>VLOOKUP(B9,Uni_TU_Lkp,9,FALSE)</f>
        <v>98.2</v>
      </c>
      <c r="M9" s="11">
        <f>VLOOKUP(B9,AI_Rank,2,FALSE)</f>
        <v>15</v>
      </c>
      <c r="N9" s="2">
        <f xml:space="preserve"> ((M9 - $M$64)/($M$63 - $M$64))*100</f>
        <v>7.7777777777777777</v>
      </c>
      <c r="O9" s="11">
        <f>VLOOKUP(B9,AI_Rank,3,FALSE)</f>
        <v>11.7</v>
      </c>
      <c r="P9" s="11">
        <f xml:space="preserve"> ((O9 - $O$64)/($O$63 - $O$64)) * 100</f>
        <v>25.269978401727862</v>
      </c>
      <c r="Q9" s="11">
        <f>VLOOKUP(B9,AI_Rank,4,FALSE)</f>
        <v>17</v>
      </c>
      <c r="R9" s="11">
        <f xml:space="preserve"> ((Q9 - $Q$64)/($Q$63 - $Q$64)) * 100</f>
        <v>22.388059701492537</v>
      </c>
      <c r="S9" s="11">
        <f>VLOOKUP(B9,Theory_Rank,2,FALSE)</f>
        <v>9</v>
      </c>
      <c r="T9" s="2">
        <f xml:space="preserve"> ((S9 - $S$64)/($S$63 - $S$64))*100</f>
        <v>4.1884816753926701</v>
      </c>
      <c r="U9" s="11">
        <f>VLOOKUP(B9,Theory_Rank,3,FALSE)</f>
        <v>8</v>
      </c>
      <c r="V9" s="11">
        <f xml:space="preserve"> ((U9 - $U$64)/($U$63 - $U$64)) * 100</f>
        <v>62.5</v>
      </c>
      <c r="W9" s="11">
        <f>VLOOKUP(B9,Theory_Rank,4,FALSE)</f>
        <v>10</v>
      </c>
      <c r="X9" s="11">
        <f xml:space="preserve"> ((W9 - $W$64)/($W$63 - $W$64)) * 100</f>
        <v>43.478260869565219</v>
      </c>
      <c r="Y9" s="11">
        <f>VLOOKUP(B9,Systems_Rank,2,FALSE)</f>
        <v>20</v>
      </c>
      <c r="Z9" s="2">
        <f xml:space="preserve"> ((Y9 - $Y$64)/($Y$63 - $Y$64))*100</f>
        <v>17.117117117117118</v>
      </c>
      <c r="AA9" s="11">
        <f>VLOOKUP(B9,Systems_Rank,3,FALSE)</f>
        <v>2.8</v>
      </c>
      <c r="AB9" s="11">
        <f xml:space="preserve"> ((AA9 - $AA$64)/($AA$63 - $AA$64)) * 100</f>
        <v>39.436619718309856</v>
      </c>
      <c r="AC9" s="11">
        <f>VLOOKUP(B9,Systems_Rank,4,FALSE)</f>
        <v>20</v>
      </c>
      <c r="AD9" s="11">
        <f xml:space="preserve"> ((AC9 - $AC$64)/($AC$63 - $AC$64)) * 100</f>
        <v>32.258064516129032</v>
      </c>
      <c r="AE9" s="11">
        <f>VLOOKUP(B9,InterD_Rank,2,FALSE)</f>
        <v>58</v>
      </c>
      <c r="AF9" s="2">
        <f xml:space="preserve"> ((AE9 - $AE$64)/($AE$63 - $AE$64))*100</f>
        <v>53.773584905660378</v>
      </c>
      <c r="AG9" s="11">
        <f>VLOOKUP(B9,InterD_Rank,3,FALSE)</f>
        <v>1.9</v>
      </c>
      <c r="AH9" s="11">
        <f xml:space="preserve"> ((AG9 - $AG$64)/($AG$63 - $AG$64)) * 100</f>
        <v>10.857142857142858</v>
      </c>
      <c r="AI9" s="11">
        <f>VLOOKUP(B9,InterD_Rank,4,FALSE)</f>
        <v>4</v>
      </c>
      <c r="AJ9" s="11">
        <f xml:space="preserve"> ((AI9 - $AI$64)/($AI$63 - $AI$64)) * 100</f>
        <v>6.666666666666667</v>
      </c>
      <c r="AK9" s="2">
        <f xml:space="preserve"> 0.5 * N9 + 0.2 * T9 + 0.15 * Z9 + 0.15 * AF9</f>
        <v>15.360190527384045</v>
      </c>
      <c r="AL9" s="2">
        <f>0.5*((I9+K9+L9)/3) + 0.5 * ((0.6 *((P9 + R9)/2)) + (0.2 * ((T9 + V9)/2)) + (0.1 * ((AB9 + AD9)/2)) + (0.1 * ((AH9 + AJ9)/2)))</f>
        <v>61.246925476542238</v>
      </c>
      <c r="AM9" s="2">
        <f xml:space="preserve"> 0.2 * E9 + 0.4 * G9 + 0.4 * AK9</f>
        <v>11.860314315833151</v>
      </c>
    </row>
    <row r="10" spans="1:44" x14ac:dyDescent="0.25">
      <c r="A10" s="14">
        <f>A9+1</f>
        <v>10</v>
      </c>
      <c r="B10" s="2" t="s">
        <v>117</v>
      </c>
      <c r="C10" s="2">
        <f>RANK(AM10,$AM$3:$AM$60,1)</f>
        <v>16</v>
      </c>
      <c r="D10" s="2">
        <v>13</v>
      </c>
      <c r="E10" s="2">
        <f xml:space="preserve"> ((D10 - $D$64)/($D$63 - $D$64))*100</f>
        <v>2.6726057906458798</v>
      </c>
      <c r="F10" s="2">
        <v>8</v>
      </c>
      <c r="G10" s="2">
        <f xml:space="preserve"> ((F10 - $F$64)/($F$63 - $F$64))*100</f>
        <v>1.9886363636363635</v>
      </c>
      <c r="H10" s="2" t="b">
        <f>D10&lt;=F10</f>
        <v>0</v>
      </c>
      <c r="I10" s="44">
        <f>VLOOKUP(B10,Uni_TU_Lkp,6,FALSE)</f>
        <v>81.8</v>
      </c>
      <c r="J10" s="44">
        <f>VLOOKUP(B10,Uni_TU_Lkp,7,FALSE)</f>
        <v>83.5</v>
      </c>
      <c r="K10" s="44">
        <f>VLOOKUP(B10,Uni_TU_Lkp,8,FALSE)</f>
        <v>90.6</v>
      </c>
      <c r="L10" s="44">
        <f>VLOOKUP(B10,Uni_TU_Lkp,9,FALSE)</f>
        <v>99.5</v>
      </c>
      <c r="M10" s="11">
        <f>VLOOKUP(B10,AI_Rank,2,FALSE)</f>
        <v>89</v>
      </c>
      <c r="N10" s="2">
        <f xml:space="preserve"> ((M10 - $M$64)/($M$63 - $M$64))*100</f>
        <v>48.888888888888886</v>
      </c>
      <c r="O10" s="11">
        <f>VLOOKUP(B10,AI_Rank,3,FALSE)</f>
        <v>4</v>
      </c>
      <c r="P10" s="11">
        <f xml:space="preserve"> ((O10 - $O$64)/($O$63 - $O$64)) * 100</f>
        <v>8.6393088552915778</v>
      </c>
      <c r="Q10" s="11">
        <f>VLOOKUP(B10,AI_Rank,4,FALSE)</f>
        <v>22</v>
      </c>
      <c r="R10" s="11">
        <f xml:space="preserve"> ((Q10 - $Q$64)/($Q$63 - $Q$64)) * 100</f>
        <v>29.850746268656714</v>
      </c>
      <c r="S10" s="11">
        <f>VLOOKUP(B10,Theory_Rank,2,FALSE)</f>
        <v>5</v>
      </c>
      <c r="T10" s="2">
        <f xml:space="preserve"> ((S10 - $S$64)/($S$63 - $S$64))*100</f>
        <v>2.0942408376963351</v>
      </c>
      <c r="U10" s="11">
        <f>VLOOKUP(B10,Theory_Rank,3,FALSE)</f>
        <v>9.5</v>
      </c>
      <c r="V10" s="11">
        <f xml:space="preserve"> ((U10 - $U$64)/($U$63 - $U$64)) * 100</f>
        <v>74.21875</v>
      </c>
      <c r="W10" s="11">
        <f>VLOOKUP(B10,Theory_Rank,4,FALSE)</f>
        <v>15</v>
      </c>
      <c r="X10" s="11">
        <f xml:space="preserve"> ((W10 - $W$64)/($W$63 - $W$64)) * 100</f>
        <v>65.217391304347828</v>
      </c>
      <c r="Y10" s="11">
        <f>VLOOKUP(B10,Systems_Rank,2,FALSE)</f>
        <v>13</v>
      </c>
      <c r="Z10" s="2">
        <f xml:space="preserve"> ((Y10 - $Y$64)/($Y$63 - $Y$64))*100</f>
        <v>10.810810810810811</v>
      </c>
      <c r="AA10" s="11">
        <f>VLOOKUP(B10,Systems_Rank,3,FALSE)</f>
        <v>3.4</v>
      </c>
      <c r="AB10" s="11">
        <f xml:space="preserve"> ((AA10 - $AA$64)/($AA$63 - $AA$64)) * 100</f>
        <v>47.887323943661976</v>
      </c>
      <c r="AC10" s="11">
        <f>VLOOKUP(B10,Systems_Rank,4,FALSE)</f>
        <v>22</v>
      </c>
      <c r="AD10" s="11">
        <f xml:space="preserve"> ((AC10 - $AC$64)/($AC$63 - $AC$64)) * 100</f>
        <v>35.483870967741936</v>
      </c>
      <c r="AE10" s="11">
        <f>VLOOKUP(B10,InterD_Rank,2,FALSE)</f>
        <v>68</v>
      </c>
      <c r="AF10" s="2">
        <f xml:space="preserve"> ((AE10 - $AE$64)/($AE$63 - $AE$64))*100</f>
        <v>63.20754716981132</v>
      </c>
      <c r="AG10" s="11">
        <f>VLOOKUP(B10,InterD_Rank,3,FALSE)</f>
        <v>1.6</v>
      </c>
      <c r="AH10" s="11">
        <f xml:space="preserve"> ((AG10 - $AG$64)/($AG$63 - $AG$64)) * 100</f>
        <v>9.1428571428571423</v>
      </c>
      <c r="AI10" s="11">
        <f>VLOOKUP(B10,InterD_Rank,4,FALSE)</f>
        <v>5</v>
      </c>
      <c r="AJ10" s="11">
        <f xml:space="preserve"> ((AI10 - $AI$64)/($AI$63 - $AI$64)) * 100</f>
        <v>8.3333333333333321</v>
      </c>
      <c r="AK10" s="2">
        <f xml:space="preserve"> 0.5 * N10 + 0.2 * T10 + 0.15 * Z10 + 0.15 * AF10</f>
        <v>35.966046309077029</v>
      </c>
      <c r="AL10" s="2">
        <f>0.5*((I10+K10+L10)/3) + 0.5 * ((0.6 *((P10 + R10)/2)) + (0.2 * ((T10 + V10)/2)) + (0.1 * ((AB10 + AD10)/2)) + (0.1 * ((AH10 + AJ10)/2)))</f>
        <v>57.427009111833584</v>
      </c>
      <c r="AM10" s="2">
        <f xml:space="preserve"> 0.2 * E10 + 0.4 * G10 + 0.4 * AK10</f>
        <v>15.716394227214534</v>
      </c>
    </row>
    <row r="11" spans="1:44" x14ac:dyDescent="0.25">
      <c r="A11" s="14">
        <f>A10+1</f>
        <v>11</v>
      </c>
      <c r="B11" s="2" t="s">
        <v>125</v>
      </c>
      <c r="C11" s="2">
        <f>RANK(AM11,$AM$3:$AM$60,1)</f>
        <v>17</v>
      </c>
      <c r="D11" s="2">
        <v>115</v>
      </c>
      <c r="E11" s="2">
        <f xml:space="preserve"> ((D11 - $D$64)/($D$63 - $D$64))*100</f>
        <v>25.389755011135858</v>
      </c>
      <c r="F11" s="2">
        <v>47</v>
      </c>
      <c r="G11" s="2">
        <f xml:space="preserve"> ((F11 - $F$64)/($F$63 - $F$64))*100</f>
        <v>13.068181818181818</v>
      </c>
      <c r="H11" s="2" t="b">
        <f>D11&lt;=F11</f>
        <v>0</v>
      </c>
      <c r="I11" s="44">
        <f>VLOOKUP(B11,Uni_TU_Lkp,6,FALSE)</f>
        <v>69.8</v>
      </c>
      <c r="J11" s="44">
        <f>VLOOKUP(B11,Uni_TU_Lkp,7,FALSE)</f>
        <v>69.7</v>
      </c>
      <c r="K11" s="44">
        <f>VLOOKUP(B11,Uni_TU_Lkp,8,FALSE)</f>
        <v>88.5</v>
      </c>
      <c r="L11" s="44">
        <f>VLOOKUP(B11,Uni_TU_Lkp,9,FALSE)</f>
        <v>92.9</v>
      </c>
      <c r="M11" s="11">
        <f>VLOOKUP(B11,AI_Rank,2,FALSE)</f>
        <v>16</v>
      </c>
      <c r="N11" s="2">
        <f xml:space="preserve"> ((M11 - $M$64)/($M$63 - $M$64))*100</f>
        <v>8.3333333333333321</v>
      </c>
      <c r="O11" s="11">
        <f>VLOOKUP(B11,AI_Rank,3,FALSE)</f>
        <v>11.3</v>
      </c>
      <c r="P11" s="11">
        <f xml:space="preserve"> ((O11 - $O$64)/($O$63 - $O$64)) * 100</f>
        <v>24.406047516198708</v>
      </c>
      <c r="Q11" s="11">
        <f>VLOOKUP(B11,AI_Rank,4,FALSE)</f>
        <v>24</v>
      </c>
      <c r="R11" s="11">
        <f xml:space="preserve"> ((Q11 - $Q$64)/($Q$63 - $Q$64)) * 100</f>
        <v>32.835820895522389</v>
      </c>
      <c r="S11" s="11">
        <f>VLOOKUP(B11,Theory_Rank,2,FALSE)</f>
        <v>36</v>
      </c>
      <c r="T11" s="2">
        <f xml:space="preserve"> ((S11 - $S$64)/($S$63 - $S$64))*100</f>
        <v>18.32460732984293</v>
      </c>
      <c r="U11" s="11">
        <f>VLOOKUP(B11,Theory_Rank,3,FALSE)</f>
        <v>3.7</v>
      </c>
      <c r="V11" s="11">
        <f xml:space="preserve"> ((U11 - $U$64)/($U$63 - $U$64)) * 100</f>
        <v>28.90625</v>
      </c>
      <c r="W11" s="11">
        <f>VLOOKUP(B11,Theory_Rank,4,FALSE)</f>
        <v>8</v>
      </c>
      <c r="X11" s="11">
        <f xml:space="preserve"> ((W11 - $W$64)/($W$63 - $W$64)) * 100</f>
        <v>34.782608695652172</v>
      </c>
      <c r="Y11" s="11">
        <f>VLOOKUP(B11,Systems_Rank,2,FALSE)</f>
        <v>18</v>
      </c>
      <c r="Z11" s="2">
        <f xml:space="preserve"> ((Y11 - $Y$64)/($Y$63 - $Y$64))*100</f>
        <v>15.315315315315313</v>
      </c>
      <c r="AA11" s="11">
        <f>VLOOKUP(B11,Systems_Rank,3,FALSE)</f>
        <v>2.9</v>
      </c>
      <c r="AB11" s="11">
        <f xml:space="preserve"> ((AA11 - $AA$64)/($AA$63 - $AA$64)) * 100</f>
        <v>40.845070422535215</v>
      </c>
      <c r="AC11" s="11">
        <f>VLOOKUP(B11,Systems_Rank,4,FALSE)</f>
        <v>18</v>
      </c>
      <c r="AD11" s="11">
        <f xml:space="preserve"> ((AC11 - $AC$64)/($AC$63 - $AC$64)) * 100</f>
        <v>29.032258064516132</v>
      </c>
      <c r="AE11" s="11">
        <f>VLOOKUP(B11,InterD_Rank,2,FALSE)</f>
        <v>27</v>
      </c>
      <c r="AF11" s="2">
        <f xml:space="preserve"> ((AE11 - $AE$64)/($AE$63 - $AE$64))*100</f>
        <v>24.528301886792452</v>
      </c>
      <c r="AG11" s="11">
        <f>VLOOKUP(B11,InterD_Rank,3,FALSE)</f>
        <v>3.6</v>
      </c>
      <c r="AH11" s="11">
        <f xml:space="preserve"> ((AG11 - $AG$64)/($AG$63 - $AG$64)) * 100</f>
        <v>20.571428571428569</v>
      </c>
      <c r="AI11" s="11">
        <f>VLOOKUP(B11,InterD_Rank,4,FALSE)</f>
        <v>12</v>
      </c>
      <c r="AJ11" s="11">
        <f xml:space="preserve"> ((AI11 - $AI$64)/($AI$63 - $AI$64)) * 100</f>
        <v>20</v>
      </c>
      <c r="AK11" s="2">
        <f xml:space="preserve"> 0.5 * N11 + 0.2 * T11 + 0.15 * Z11 + 0.15 * AF11</f>
        <v>13.808130712951417</v>
      </c>
      <c r="AL11" s="2">
        <f>0.5*((I11+K11+L11)/3) + 0.5 * ((0.6 *((P11 + R11)/2)) + (0.2 * ((T11 + V11)/2)) + (0.1 * ((AB11 + AD11)/2)) + (0.1 * ((AH11 + AJ11)/2)))</f>
        <v>55.575708721378973</v>
      </c>
      <c r="AM11" s="2">
        <f xml:space="preserve"> 0.2 * E11 + 0.4 * G11 + 0.4 * AK11</f>
        <v>15.828476014680469</v>
      </c>
    </row>
    <row r="12" spans="1:44" x14ac:dyDescent="0.25">
      <c r="A12" s="14">
        <f>A11+1</f>
        <v>12</v>
      </c>
      <c r="B12" s="2" t="s">
        <v>19</v>
      </c>
      <c r="C12" s="2">
        <f>RANK(AM12,$AM$3:$AM$60,1)</f>
        <v>18</v>
      </c>
      <c r="D12" s="2">
        <v>11</v>
      </c>
      <c r="E12" s="2">
        <f xml:space="preserve"> ((D12 - $D$64)/($D$63 - $D$64))*100</f>
        <v>2.2271714922048997</v>
      </c>
      <c r="F12" s="2">
        <v>10</v>
      </c>
      <c r="G12" s="2">
        <f xml:space="preserve"> ((F12 - $F$64)/($F$63 - $F$64))*100</f>
        <v>2.5568181818181821</v>
      </c>
      <c r="H12" s="2" t="b">
        <f>D12&lt;=F12</f>
        <v>0</v>
      </c>
      <c r="I12" s="44">
        <f>VLOOKUP(B12,Uni_TU_Lkp,6,FALSE)</f>
        <v>77.400000000000006</v>
      </c>
      <c r="J12" s="44">
        <f>VLOOKUP(B12,Uni_TU_Lkp,7,FALSE)</f>
        <v>89.8</v>
      </c>
      <c r="K12" s="44">
        <f>VLOOKUP(B12,Uni_TU_Lkp,8,FALSE)</f>
        <v>85.1</v>
      </c>
      <c r="L12" s="44">
        <f>VLOOKUP(B12,Uni_TU_Lkp,9,FALSE)</f>
        <v>89.5</v>
      </c>
      <c r="M12" s="11">
        <f>VLOOKUP(B12,AI_Rank,2,FALSE)</f>
        <v>10</v>
      </c>
      <c r="N12" s="2">
        <f xml:space="preserve"> ((M12 - $M$64)/($M$63 - $M$64))*100</f>
        <v>5</v>
      </c>
      <c r="O12" s="11">
        <f>VLOOKUP(B12,AI_Rank,3,FALSE)</f>
        <v>13.9</v>
      </c>
      <c r="P12" s="11">
        <f xml:space="preserve"> ((O12 - $O$64)/($O$63 - $O$64)) * 100</f>
        <v>30.021598272138235</v>
      </c>
      <c r="Q12" s="11">
        <f>VLOOKUP(B12,AI_Rank,4,FALSE)</f>
        <v>33</v>
      </c>
      <c r="R12" s="11">
        <f xml:space="preserve"> ((Q12 - $Q$64)/($Q$63 - $Q$64)) * 100</f>
        <v>46.268656716417908</v>
      </c>
      <c r="S12" s="11">
        <f>VLOOKUP(B12,Theory_Rank,2,FALSE)</f>
        <v>46</v>
      </c>
      <c r="T12" s="2">
        <f xml:space="preserve"> ((S12 - $S$64)/($S$63 - $S$64))*100</f>
        <v>23.560209424083769</v>
      </c>
      <c r="U12" s="11">
        <f>VLOOKUP(B12,Theory_Rank,3,FALSE)</f>
        <v>3.1</v>
      </c>
      <c r="V12" s="11">
        <f xml:space="preserve"> ((U12 - $U$64)/($U$63 - $U$64)) * 100</f>
        <v>24.21875</v>
      </c>
      <c r="W12" s="11">
        <f>VLOOKUP(B12,Theory_Rank,4,FALSE)</f>
        <v>10</v>
      </c>
      <c r="X12" s="11">
        <f xml:space="preserve"> ((W12 - $W$64)/($W$63 - $W$64)) * 100</f>
        <v>43.478260869565219</v>
      </c>
      <c r="Y12" s="11">
        <v>112</v>
      </c>
      <c r="Z12" s="2">
        <f xml:space="preserve"> ((Y12 - $Y$64)/($Y$63 - $Y$64))*100</f>
        <v>100</v>
      </c>
      <c r="AA12" s="11">
        <v>0</v>
      </c>
      <c r="AB12" s="11">
        <f xml:space="preserve"> ((AA12 - $AA$64)/($AA$63 - $AA$64)) * 100</f>
        <v>0</v>
      </c>
      <c r="AC12" s="11">
        <v>0</v>
      </c>
      <c r="AD12" s="11">
        <f xml:space="preserve"> ((AC12 - $AC$64)/($AC$63 - $AC$64)) * 100</f>
        <v>0</v>
      </c>
      <c r="AE12" s="11">
        <v>107</v>
      </c>
      <c r="AF12" s="2">
        <f xml:space="preserve"> ((AE12 - $AE$64)/($AE$63 - $AE$64))*100</f>
        <v>100</v>
      </c>
      <c r="AG12" s="11">
        <v>0</v>
      </c>
      <c r="AH12" s="11">
        <f xml:space="preserve"> ((AG12 - $AG$64)/($AG$63 - $AG$64)) * 100</f>
        <v>0</v>
      </c>
      <c r="AI12" s="11">
        <v>0</v>
      </c>
      <c r="AJ12" s="11">
        <f xml:space="preserve"> ((AI12 - $AI$64)/($AI$63 - $AI$64)) * 100</f>
        <v>0</v>
      </c>
      <c r="AK12" s="2">
        <f xml:space="preserve"> 0.5 * N12 + 0.2 * T12 + 0.15 * Z12 + 0.15 * AF12</f>
        <v>37.212041884816756</v>
      </c>
      <c r="AL12" s="2">
        <f>0.5*((I12+K12+L12)/3) + 0.5 * ((0.6 *((P12 + R12)/2)) + (0.2 * ((T12 + V12)/2)) + (0.1 * ((AB12 + AD12)/2)) + (0.1 * ((AH12 + AJ12)/2)))</f>
        <v>55.832486219487606</v>
      </c>
      <c r="AM12" s="2">
        <f xml:space="preserve"> 0.2 * E12 + 0.4 * G12 + 0.4 * AK12</f>
        <v>16.352978325094956</v>
      </c>
    </row>
    <row r="13" spans="1:44" x14ac:dyDescent="0.25">
      <c r="A13" s="14">
        <v>7</v>
      </c>
      <c r="B13" s="2" t="s">
        <v>11</v>
      </c>
      <c r="C13" s="2">
        <f>RANK(AM13,$AM$3:$AM$60,1)</f>
        <v>20</v>
      </c>
      <c r="D13" s="2">
        <v>43</v>
      </c>
      <c r="E13" s="2">
        <f xml:space="preserve"> ((D13 - $D$64)/($D$63 - $D$64))*100</f>
        <v>9.3541202672605799</v>
      </c>
      <c r="F13" s="2">
        <v>33</v>
      </c>
      <c r="G13" s="2">
        <f xml:space="preserve"> ((F13 - $F$64)/($F$63 - $F$64))*100</f>
        <v>9.0909090909090917</v>
      </c>
      <c r="H13" s="2" t="b">
        <f>D13&lt;=F13</f>
        <v>0</v>
      </c>
      <c r="I13" s="44">
        <f>VLOOKUP(B13,Uni_TU_Lkp,6,FALSE)</f>
        <v>75</v>
      </c>
      <c r="J13" s="44">
        <f>VLOOKUP(B13,Uni_TU_Lkp,7,FALSE)</f>
        <v>76.099999999999994</v>
      </c>
      <c r="K13" s="44">
        <f>VLOOKUP(B13,Uni_TU_Lkp,8,FALSE)</f>
        <v>81.7</v>
      </c>
      <c r="L13" s="44">
        <f>VLOOKUP(B13,Uni_TU_Lkp,9,FALSE)</f>
        <v>96.6</v>
      </c>
      <c r="M13" s="11">
        <f>VLOOKUP(B13,AI_Rank,2,FALSE)</f>
        <v>75</v>
      </c>
      <c r="N13" s="2">
        <f xml:space="preserve"> ((M13 - $M$64)/($M$63 - $M$64))*100</f>
        <v>41.111111111111107</v>
      </c>
      <c r="O13" s="11">
        <f>VLOOKUP(B13,AI_Rank,3,FALSE)</f>
        <v>4.5999999999999996</v>
      </c>
      <c r="P13" s="11">
        <f xml:space="preserve"> ((O13 - $O$64)/($O$63 - $O$64)) * 100</f>
        <v>9.9352051835853139</v>
      </c>
      <c r="Q13" s="11">
        <f>VLOOKUP(B13,AI_Rank,4,FALSE)</f>
        <v>17</v>
      </c>
      <c r="R13" s="11">
        <f xml:space="preserve"> ((Q13 - $Q$64)/($Q$63 - $Q$64)) * 100</f>
        <v>22.388059701492537</v>
      </c>
      <c r="S13" s="11">
        <f>VLOOKUP(B13,Theory_Rank,2,FALSE)</f>
        <v>13</v>
      </c>
      <c r="T13" s="2">
        <f xml:space="preserve"> ((S13 - $S$64)/($S$63 - $S$64))*100</f>
        <v>6.2827225130890048</v>
      </c>
      <c r="U13" s="11">
        <f>VLOOKUP(B13,Theory_Rank,3,FALSE)</f>
        <v>7.3</v>
      </c>
      <c r="V13" s="11">
        <f xml:space="preserve"> ((U13 - $U$64)/($U$63 - $U$64)) * 100</f>
        <v>57.03125</v>
      </c>
      <c r="W13" s="11">
        <f>VLOOKUP(B13,Theory_Rank,4,FALSE)</f>
        <v>10</v>
      </c>
      <c r="X13" s="11">
        <f xml:space="preserve"> ((W13 - $W$64)/($W$63 - $W$64)) * 100</f>
        <v>43.478260869565219</v>
      </c>
      <c r="Y13" s="11">
        <f>VLOOKUP(B13,Systems_Rank,2,FALSE)</f>
        <v>30</v>
      </c>
      <c r="Z13" s="2">
        <f xml:space="preserve"> ((Y13 - $Y$64)/($Y$63 - $Y$64))*100</f>
        <v>26.126126126126124</v>
      </c>
      <c r="AA13" s="11">
        <f>VLOOKUP(B13,Systems_Rank,3,FALSE)</f>
        <v>2.1</v>
      </c>
      <c r="AB13" s="11">
        <f xml:space="preserve"> ((AA13 - $AA$64)/($AA$63 - $AA$64)) * 100</f>
        <v>29.577464788732399</v>
      </c>
      <c r="AC13" s="11">
        <f>VLOOKUP(B13,Systems_Rank,4,FALSE)</f>
        <v>18</v>
      </c>
      <c r="AD13" s="11">
        <f xml:space="preserve"> ((AC13 - $AC$64)/($AC$63 - $AC$64)) * 100</f>
        <v>29.032258064516132</v>
      </c>
      <c r="AE13" s="11">
        <f>VLOOKUP(B13,InterD_Rank,2,FALSE)</f>
        <v>29</v>
      </c>
      <c r="AF13" s="2">
        <f xml:space="preserve"> ((AE13 - $AE$64)/($AE$63 - $AE$64))*100</f>
        <v>26.415094339622641</v>
      </c>
      <c r="AG13" s="11">
        <f>VLOOKUP(B13,InterD_Rank,3,FALSE)</f>
        <v>3.4</v>
      </c>
      <c r="AH13" s="11">
        <f xml:space="preserve"> ((AG13 - $AG$64)/($AG$63 - $AG$64)) * 100</f>
        <v>19.428571428571427</v>
      </c>
      <c r="AI13" s="11">
        <f>VLOOKUP(B13,InterD_Rank,4,FALSE)</f>
        <v>9</v>
      </c>
      <c r="AJ13" s="11">
        <f xml:space="preserve"> ((AI13 - $AI$64)/($AI$63 - $AI$64)) * 100</f>
        <v>15</v>
      </c>
      <c r="AK13" s="2">
        <f xml:space="preserve"> 0.5 * N13 + 0.2 * T13 + 0.15 * Z13 + 0.15 * AF13</f>
        <v>29.693283128035667</v>
      </c>
      <c r="AL13" s="2">
        <f>0.5*((I13+K13+L13)/3) + 0.5 * ((0.6 *((P13 + R13)/2)) + (0.2 * ((T13 + V13)/2)) + (0.1 * ((AB13 + AD13)/2)) + (0.1 * ((AH13 + AJ13)/2)))</f>
        <v>52.556812382128285</v>
      </c>
      <c r="AM13" s="2">
        <f xml:space="preserve"> 0.2 * E13 + 0.4 * G13 + 0.4 * AK13</f>
        <v>17.384500941030019</v>
      </c>
    </row>
    <row r="14" spans="1:44" x14ac:dyDescent="0.25">
      <c r="A14" s="14">
        <f>A13+1</f>
        <v>8</v>
      </c>
      <c r="B14" s="2" t="s">
        <v>412</v>
      </c>
      <c r="C14" s="2">
        <f>RANK(AM14,$AM$3:$AM$60,1)</f>
        <v>22</v>
      </c>
      <c r="D14" s="2">
        <v>126</v>
      </c>
      <c r="E14" s="2">
        <f xml:space="preserve"> ((D14 - $D$64)/($D$63 - $D$64))*100</f>
        <v>27.839643652561247</v>
      </c>
      <c r="F14" s="2">
        <v>75</v>
      </c>
      <c r="G14" s="2">
        <f xml:space="preserve"> ((F14 - $F$64)/($F$63 - $F$64))*100</f>
        <v>21.022727272727273</v>
      </c>
      <c r="H14" s="2" t="b">
        <f>D14&lt;=F14</f>
        <v>0</v>
      </c>
      <c r="I14" s="44">
        <f>VLOOKUP(B14,Uni_TU_Lkp,6,FALSE)</f>
        <v>74</v>
      </c>
      <c r="J14" s="44">
        <f>VLOOKUP(B14,Uni_TU_Lkp,7,FALSE)</f>
        <v>59.2</v>
      </c>
      <c r="K14" s="44">
        <f>VLOOKUP(B14,Uni_TU_Lkp,8,FALSE)</f>
        <v>85.6</v>
      </c>
      <c r="L14" s="44">
        <f>VLOOKUP(B14,Uni_TU_Lkp,9,FALSE)</f>
        <v>91.7</v>
      </c>
      <c r="M14" s="11">
        <f>VLOOKUP(B14,AI_Rank,2,FALSE)</f>
        <v>13</v>
      </c>
      <c r="N14" s="2">
        <f xml:space="preserve"> ((M14 - $M$64)/($M$63 - $M$64))*100</f>
        <v>6.666666666666667</v>
      </c>
      <c r="O14" s="11">
        <f>VLOOKUP(B14,AI_Rank,3,FALSE)</f>
        <v>12.4</v>
      </c>
      <c r="P14" s="11">
        <f xml:space="preserve"> ((O14 - $O$64)/($O$63 - $O$64)) * 100</f>
        <v>26.781857451403891</v>
      </c>
      <c r="Q14" s="11">
        <f>VLOOKUP(B14,AI_Rank,4,FALSE)</f>
        <v>25</v>
      </c>
      <c r="R14" s="11">
        <f xml:space="preserve"> ((Q14 - $Q$64)/($Q$63 - $Q$64)) * 100</f>
        <v>34.328358208955223</v>
      </c>
      <c r="S14" s="11">
        <f>VLOOKUP(B14,Theory_Rank,2,FALSE)</f>
        <v>33</v>
      </c>
      <c r="T14" s="2">
        <f xml:space="preserve"> ((S14 - $S$64)/($S$63 - $S$64))*100</f>
        <v>16.753926701570681</v>
      </c>
      <c r="U14" s="11">
        <f>VLOOKUP(B14,Theory_Rank,3,FALSE)</f>
        <v>3.8</v>
      </c>
      <c r="V14" s="11">
        <f xml:space="preserve"> ((U14 - $U$64)/($U$63 - $U$64)) * 100</f>
        <v>29.687499999999993</v>
      </c>
      <c r="W14" s="11">
        <f>VLOOKUP(B14,Theory_Rank,4,FALSE)</f>
        <v>8</v>
      </c>
      <c r="X14" s="11">
        <f xml:space="preserve"> ((W14 - $W$64)/($W$63 - $W$64)) * 100</f>
        <v>34.782608695652172</v>
      </c>
      <c r="Y14" s="11">
        <f>VLOOKUP(B14,Systems_Rank,2,FALSE)</f>
        <v>27</v>
      </c>
      <c r="Z14" s="2">
        <f xml:space="preserve"> ((Y14 - $Y$64)/($Y$63 - $Y$64))*100</f>
        <v>23.423423423423422</v>
      </c>
      <c r="AA14" s="11">
        <f>VLOOKUP(B14,Systems_Rank,3,FALSE)</f>
        <v>2.4</v>
      </c>
      <c r="AB14" s="11">
        <f xml:space="preserve"> ((AA14 - $AA$64)/($AA$63 - $AA$64)) * 100</f>
        <v>33.802816901408448</v>
      </c>
      <c r="AC14" s="11">
        <f>VLOOKUP(B14,Systems_Rank,4,FALSE)</f>
        <v>17</v>
      </c>
      <c r="AD14" s="11">
        <f xml:space="preserve"> ((AC14 - $AC$64)/($AC$63 - $AC$64)) * 100</f>
        <v>27.419354838709676</v>
      </c>
      <c r="AE14" s="11">
        <f>VLOOKUP(B14,InterD_Rank,2,FALSE)</f>
        <v>9</v>
      </c>
      <c r="AF14" s="2">
        <f xml:space="preserve"> ((AE14 - $AE$64)/($AE$63 - $AE$64))*100</f>
        <v>7.5471698113207548</v>
      </c>
      <c r="AG14" s="11">
        <f>VLOOKUP(B14,InterD_Rank,3,FALSE)</f>
        <v>7.8</v>
      </c>
      <c r="AH14" s="11">
        <f xml:space="preserve"> ((AG14 - $AG$64)/($AG$63 - $AG$64)) * 100</f>
        <v>44.571428571428569</v>
      </c>
      <c r="AI14" s="11">
        <f>VLOOKUP(B14,InterD_Rank,4,FALSE)</f>
        <v>15</v>
      </c>
      <c r="AJ14" s="11">
        <f xml:space="preserve"> ((AI14 - $AI$64)/($AI$63 - $AI$64)) * 100</f>
        <v>25</v>
      </c>
      <c r="AK14" s="2">
        <f xml:space="preserve"> 0.5 * N14 + 0.2 * T14 + 0.15 * Z14 + 0.15 * AF14</f>
        <v>11.329707658859098</v>
      </c>
      <c r="AL14" s="2">
        <f>0.5*((I14+K14+L14)/3) + 0.5 * ((0.6 *((P14 + R14)/2)) + (0.2 * ((T14 + V14)/2)) + (0.1 * ((AB14 + AD14)/2)) + (0.1 * ((AH14 + AJ14)/2)))</f>
        <v>56.641777025254399</v>
      </c>
      <c r="AM14" s="2">
        <f xml:space="preserve"> 0.2 * E14 + 0.4 * G14 + 0.4 * AK14</f>
        <v>18.508902703146799</v>
      </c>
    </row>
    <row r="15" spans="1:44" x14ac:dyDescent="0.25">
      <c r="A15" s="14">
        <f>A14+1</f>
        <v>9</v>
      </c>
      <c r="B15" s="2" t="s">
        <v>50</v>
      </c>
      <c r="C15" s="2">
        <f>RANK(AM15,$AM$3:$AM$60,1)</f>
        <v>26</v>
      </c>
      <c r="D15" s="2">
        <v>22</v>
      </c>
      <c r="E15" s="2">
        <f xml:space="preserve"> ((D15 - $D$64)/($D$63 - $D$64))*100</f>
        <v>4.6770601336302899</v>
      </c>
      <c r="F15" s="2">
        <v>18</v>
      </c>
      <c r="G15" s="2">
        <f xml:space="preserve"> ((F15 - $F$64)/($F$63 - $F$64))*100</f>
        <v>4.8295454545454541</v>
      </c>
      <c r="H15" s="2" t="b">
        <f>D15&lt;=F15</f>
        <v>0</v>
      </c>
      <c r="I15" s="44">
        <f>VLOOKUP(B15,Uni_TU_Lkp,6,FALSE)</f>
        <v>79.099999999999994</v>
      </c>
      <c r="J15" s="44">
        <f>VLOOKUP(B15,Uni_TU_Lkp,7,FALSE)</f>
        <v>78.400000000000006</v>
      </c>
      <c r="K15" s="44">
        <f>VLOOKUP(B15,Uni_TU_Lkp,8,FALSE)</f>
        <v>85.6</v>
      </c>
      <c r="L15" s="44">
        <f>VLOOKUP(B15,Uni_TU_Lkp,9,FALSE)</f>
        <v>90.6</v>
      </c>
      <c r="M15" s="11">
        <f>VLOOKUP(B15,AI_Rank,2,FALSE)</f>
        <v>59</v>
      </c>
      <c r="N15" s="2">
        <f xml:space="preserve"> ((M15 - $M$64)/($M$63 - $M$64))*100</f>
        <v>32.222222222222221</v>
      </c>
      <c r="O15" s="11">
        <f>VLOOKUP(B15,AI_Rank,3,FALSE)</f>
        <v>5.3</v>
      </c>
      <c r="P15" s="11">
        <f xml:space="preserve"> ((O15 - $O$64)/($O$63 - $O$64)) * 100</f>
        <v>11.447084233261339</v>
      </c>
      <c r="Q15" s="11">
        <f>VLOOKUP(B15,AI_Rank,4,FALSE)</f>
        <v>15</v>
      </c>
      <c r="R15" s="11">
        <f xml:space="preserve"> ((Q15 - $Q$64)/($Q$63 - $Q$64)) * 100</f>
        <v>19.402985074626866</v>
      </c>
      <c r="S15" s="11">
        <f>VLOOKUP(B15,Theory_Rank,2,FALSE)</f>
        <v>23</v>
      </c>
      <c r="T15" s="2">
        <f xml:space="preserve"> ((S15 - $S$64)/($S$63 - $S$64))*100</f>
        <v>11.518324607329843</v>
      </c>
      <c r="U15" s="11">
        <f>VLOOKUP(B15,Theory_Rank,3,FALSE)</f>
        <v>5.0999999999999996</v>
      </c>
      <c r="V15" s="11">
        <f xml:space="preserve"> ((U15 - $U$64)/($U$63 - $U$64)) * 100</f>
        <v>39.843749999999993</v>
      </c>
      <c r="W15" s="11">
        <f>VLOOKUP(B15,Theory_Rank,4,FALSE)</f>
        <v>9</v>
      </c>
      <c r="X15" s="11">
        <f xml:space="preserve"> ((W15 - $W$64)/($W$63 - $W$64)) * 100</f>
        <v>39.130434782608695</v>
      </c>
      <c r="Y15" s="11">
        <v>112</v>
      </c>
      <c r="Z15" s="2">
        <f xml:space="preserve"> ((Y15 - $Y$64)/($Y$63 - $Y$64))*100</f>
        <v>100</v>
      </c>
      <c r="AA15" s="11">
        <v>0</v>
      </c>
      <c r="AB15" s="11">
        <f xml:space="preserve"> ((AA15 - $AA$64)/($AA$63 - $AA$64)) * 100</f>
        <v>0</v>
      </c>
      <c r="AC15" s="11">
        <v>0</v>
      </c>
      <c r="AD15" s="11">
        <f xml:space="preserve"> ((AC15 - $AC$64)/($AC$63 - $AC$64)) * 100</f>
        <v>0</v>
      </c>
      <c r="AE15" s="11">
        <v>107</v>
      </c>
      <c r="AF15" s="2">
        <f xml:space="preserve"> ((AE15 - $AE$64)/($AE$63 - $AE$64))*100</f>
        <v>100</v>
      </c>
      <c r="AG15" s="11">
        <v>0</v>
      </c>
      <c r="AH15" s="11">
        <f xml:space="preserve"> ((AG15 - $AG$64)/($AG$63 - $AG$64)) * 100</f>
        <v>0</v>
      </c>
      <c r="AI15" s="11">
        <v>0</v>
      </c>
      <c r="AJ15" s="11">
        <f xml:space="preserve"> ((AI15 - $AI$64)/($AI$63 - $AI$64)) * 100</f>
        <v>0</v>
      </c>
      <c r="AK15" s="2">
        <f xml:space="preserve"> 0.5 * N15 + 0.2 * T15 + 0.15 * Z15 + 0.15 * AF15</f>
        <v>48.41477603257708</v>
      </c>
      <c r="AL15" s="2">
        <f>0.5*((I15+K15+L15)/3) + 0.5 * ((0.6 *((P15 + R15)/2)) + (0.2 * ((T15 + V15)/2)) + (0.1 * ((AB15 + AD15)/2)) + (0.1 * ((AH15 + AJ15)/2)))</f>
        <v>49.745614126549718</v>
      </c>
      <c r="AM15" s="2">
        <f xml:space="preserve"> 0.2 * E15 + 0.4 * G15 + 0.4 * AK15</f>
        <v>22.233140621575071</v>
      </c>
    </row>
    <row r="16" spans="1:44" x14ac:dyDescent="0.25">
      <c r="A16" s="14">
        <f>A15+1</f>
        <v>10</v>
      </c>
      <c r="B16" s="2" t="s">
        <v>436</v>
      </c>
      <c r="C16" s="2">
        <f>RANK(AM16,$AM$3:$AM$60,1)</f>
        <v>27</v>
      </c>
      <c r="D16" s="2">
        <v>23</v>
      </c>
      <c r="E16" s="2">
        <f xml:space="preserve"> ((D16 - $D$64)/($D$63 - $D$64))*100</f>
        <v>4.8997772828507795</v>
      </c>
      <c r="F16" s="2">
        <v>22</v>
      </c>
      <c r="G16" s="2">
        <f xml:space="preserve"> ((F16 - $F$64)/($F$63 - $F$64))*100</f>
        <v>5.9659090909090908</v>
      </c>
      <c r="H16" s="2" t="b">
        <f>D16&lt;=F16</f>
        <v>0</v>
      </c>
      <c r="I16" s="44">
        <f>VLOOKUP(B16,Uni_TU_Lkp,6,FALSE)</f>
        <v>77.8</v>
      </c>
      <c r="J16" s="44">
        <f>VLOOKUP(B16,Uni_TU_Lkp,7,FALSE)</f>
        <v>89.2</v>
      </c>
      <c r="K16" s="44">
        <f>VLOOKUP(B16,Uni_TU_Lkp,8,FALSE)</f>
        <v>77.900000000000006</v>
      </c>
      <c r="L16" s="44">
        <f>VLOOKUP(B16,Uni_TU_Lkp,9,FALSE)</f>
        <v>78.2</v>
      </c>
      <c r="M16" s="11">
        <f>VLOOKUP(B16,AI_Rank,2,FALSE)</f>
        <v>32</v>
      </c>
      <c r="N16" s="2">
        <f xml:space="preserve"> ((M16 - $M$64)/($M$63 - $M$64))*100</f>
        <v>17.222222222222221</v>
      </c>
      <c r="O16" s="11">
        <f>VLOOKUP(B16,AI_Rank,3,FALSE)</f>
        <v>8.1</v>
      </c>
      <c r="P16" s="11">
        <f xml:space="preserve"> ((O16 - $O$64)/($O$63 - $O$64)) * 100</f>
        <v>17.494600431965441</v>
      </c>
      <c r="Q16" s="11">
        <f>VLOOKUP(B16,AI_Rank,4,FALSE)</f>
        <v>23</v>
      </c>
      <c r="R16" s="11">
        <f xml:space="preserve"> ((Q16 - $Q$64)/($Q$63 - $Q$64)) * 100</f>
        <v>31.343283582089555</v>
      </c>
      <c r="S16" s="11">
        <f>VLOOKUP(B16,Theory_Rank,2,FALSE)</f>
        <v>119</v>
      </c>
      <c r="T16" s="2">
        <f xml:space="preserve"> ((S16 - $S$64)/($S$63 - $S$64))*100</f>
        <v>61.780104712041883</v>
      </c>
      <c r="U16" s="11">
        <f>VLOOKUP(B16,Theory_Rank,3,FALSE)</f>
        <v>1.5</v>
      </c>
      <c r="V16" s="11">
        <f xml:space="preserve"> ((U16 - $U$64)/($U$63 - $U$64)) * 100</f>
        <v>11.71875</v>
      </c>
      <c r="W16" s="11">
        <f>VLOOKUP(B16,Theory_Rank,4,FALSE)</f>
        <v>2</v>
      </c>
      <c r="X16" s="11">
        <f xml:space="preserve"> ((W16 - $W$64)/($W$63 - $W$64)) * 100</f>
        <v>8.695652173913043</v>
      </c>
      <c r="Y16" s="11">
        <v>112</v>
      </c>
      <c r="Z16" s="2">
        <f xml:space="preserve"> ((Y16 - $Y$64)/($Y$63 - $Y$64))*100</f>
        <v>100</v>
      </c>
      <c r="AA16" s="11">
        <v>0</v>
      </c>
      <c r="AB16" s="11">
        <f xml:space="preserve"> ((AA16 - $AA$64)/($AA$63 - $AA$64)) * 100</f>
        <v>0</v>
      </c>
      <c r="AC16" s="11">
        <v>0</v>
      </c>
      <c r="AD16" s="11">
        <f xml:space="preserve"> ((AC16 - $AC$64)/($AC$63 - $AC$64)) * 100</f>
        <v>0</v>
      </c>
      <c r="AE16" s="11">
        <v>107</v>
      </c>
      <c r="AF16" s="2">
        <f xml:space="preserve"> ((AE16 - $AE$64)/($AE$63 - $AE$64))*100</f>
        <v>100</v>
      </c>
      <c r="AG16" s="11">
        <v>0</v>
      </c>
      <c r="AH16" s="11">
        <f xml:space="preserve"> ((AG16 - $AG$64)/($AG$63 - $AG$64)) * 100</f>
        <v>0</v>
      </c>
      <c r="AI16" s="11">
        <v>0</v>
      </c>
      <c r="AJ16" s="11">
        <f xml:space="preserve"> ((AI16 - $AI$64)/($AI$63 - $AI$64)) * 100</f>
        <v>0</v>
      </c>
      <c r="AK16" s="2">
        <f xml:space="preserve"> 0.5 * N16 + 0.2 * T16 + 0.15 * Z16 + 0.15 * AF16</f>
        <v>50.967132053519492</v>
      </c>
      <c r="AL16" s="2">
        <f>0.5*((I16+K16+L16)/3) + 0.5 * ((0.6 *((P16 + R16)/2)) + (0.2 * ((T16 + V16)/2)) + (0.1 * ((AB16 + AD16)/2)) + (0.1 * ((AH16 + AJ16)/2)))</f>
        <v>49.983958671043666</v>
      </c>
      <c r="AM16" s="2">
        <f xml:space="preserve"> 0.2 * E16 + 0.4 * G16 + 0.4 * AK16</f>
        <v>23.753171914341593</v>
      </c>
      <c r="AN16" s="6"/>
      <c r="AO16" s="6"/>
      <c r="AP16" s="6"/>
      <c r="AQ16" s="6"/>
      <c r="AR16" s="6"/>
    </row>
    <row r="17" spans="1:44" x14ac:dyDescent="0.25">
      <c r="A17" s="14">
        <f>A16+1</f>
        <v>11</v>
      </c>
      <c r="B17" s="2" t="s">
        <v>16</v>
      </c>
      <c r="C17" s="2">
        <f>RANK(AM17,$AM$3:$AM$60,1)</f>
        <v>29</v>
      </c>
      <c r="D17" s="2">
        <v>100</v>
      </c>
      <c r="E17" s="2">
        <f xml:space="preserve"> ((D17 - $D$64)/($D$63 - $D$64))*100</f>
        <v>22.048997772828507</v>
      </c>
      <c r="F17" s="2">
        <v>75</v>
      </c>
      <c r="G17" s="2">
        <f xml:space="preserve"> ((F17 - $F$64)/($F$63 - $F$64))*100</f>
        <v>21.022727272727273</v>
      </c>
      <c r="H17" s="2" t="b">
        <f>D17&lt;=F17</f>
        <v>0</v>
      </c>
      <c r="I17" s="44">
        <f>VLOOKUP(B17,Uni_TU_Lkp,6,FALSE)</f>
        <v>63.3</v>
      </c>
      <c r="J17" s="44">
        <f>VLOOKUP(B17,Uni_TU_Lkp,7,FALSE)</f>
        <v>74.900000000000006</v>
      </c>
      <c r="K17" s="44">
        <f>VLOOKUP(B17,Uni_TU_Lkp,8,FALSE)</f>
        <v>82</v>
      </c>
      <c r="L17" s="44">
        <f>VLOOKUP(B17,Uni_TU_Lkp,9,FALSE)</f>
        <v>87</v>
      </c>
      <c r="M17" s="11">
        <f>VLOOKUP(B17,AI_Rank,2,FALSE)</f>
        <v>40</v>
      </c>
      <c r="N17" s="2">
        <f xml:space="preserve"> ((M17 - $M$64)/($M$63 - $M$64))*100</f>
        <v>21.666666666666668</v>
      </c>
      <c r="O17" s="11">
        <f>VLOOKUP(B17,AI_Rank,3,FALSE)</f>
        <v>6.8</v>
      </c>
      <c r="P17" s="11">
        <f xml:space="preserve"> ((O17 - $O$64)/($O$63 - $O$64)) * 100</f>
        <v>14.686825053995682</v>
      </c>
      <c r="Q17" s="11">
        <f>VLOOKUP(B17,AI_Rank,4,FALSE)</f>
        <v>29</v>
      </c>
      <c r="R17" s="11">
        <f xml:space="preserve"> ((Q17 - $Q$64)/($Q$63 - $Q$64)) * 100</f>
        <v>40.298507462686565</v>
      </c>
      <c r="S17" s="11">
        <f>VLOOKUP(B17,Theory_Rank,2,FALSE)</f>
        <v>58</v>
      </c>
      <c r="T17" s="2">
        <f xml:space="preserve"> ((S17 - $S$64)/($S$63 - $S$64))*100</f>
        <v>29.842931937172771</v>
      </c>
      <c r="U17" s="11">
        <f>VLOOKUP(B17,Theory_Rank,3,FALSE)</f>
        <v>2.7</v>
      </c>
      <c r="V17" s="11">
        <f xml:space="preserve"> ((U17 - $U$64)/($U$63 - $U$64)) * 100</f>
        <v>21.09375</v>
      </c>
      <c r="W17" s="11">
        <f>VLOOKUP(B17,Theory_Rank,4,FALSE)</f>
        <v>8</v>
      </c>
      <c r="X17" s="11">
        <f xml:space="preserve"> ((W17 - $W$64)/($W$63 - $W$64)) * 100</f>
        <v>34.782608695652172</v>
      </c>
      <c r="Y17" s="11">
        <f>VLOOKUP(B17,Systems_Rank,2,FALSE)</f>
        <v>11</v>
      </c>
      <c r="Z17" s="2">
        <f xml:space="preserve"> ((Y17 - $Y$64)/($Y$63 - $Y$64))*100</f>
        <v>9.0090090090090094</v>
      </c>
      <c r="AA17" s="11">
        <f>VLOOKUP(B17,Systems_Rank,3,FALSE)</f>
        <v>3.5</v>
      </c>
      <c r="AB17" s="11">
        <f xml:space="preserve"> ((AA17 - $AA$64)/($AA$63 - $AA$64)) * 100</f>
        <v>49.295774647887328</v>
      </c>
      <c r="AC17" s="11">
        <f>VLOOKUP(B17,Systems_Rank,4,FALSE)</f>
        <v>30</v>
      </c>
      <c r="AD17" s="11">
        <f xml:space="preserve"> ((AC17 - $AC$64)/($AC$63 - $AC$64)) * 100</f>
        <v>48.387096774193552</v>
      </c>
      <c r="AE17" s="11">
        <f>VLOOKUP(B17,InterD_Rank,2,FALSE)</f>
        <v>68</v>
      </c>
      <c r="AF17" s="2">
        <f xml:space="preserve"> ((AE17 - $AE$64)/($AE$63 - $AE$64))*100</f>
        <v>63.20754716981132</v>
      </c>
      <c r="AG17" s="11">
        <f>VLOOKUP(B17,InterD_Rank,3,FALSE)</f>
        <v>1.6</v>
      </c>
      <c r="AH17" s="11">
        <f xml:space="preserve"> ((AG17 - $AG$64)/($AG$63 - $AG$64)) * 100</f>
        <v>9.1428571428571423</v>
      </c>
      <c r="AI17" s="11">
        <f>VLOOKUP(B17,InterD_Rank,4,FALSE)</f>
        <v>4</v>
      </c>
      <c r="AJ17" s="11">
        <f xml:space="preserve"> ((AI17 - $AI$64)/($AI$63 - $AI$64)) * 100</f>
        <v>6.666666666666667</v>
      </c>
      <c r="AK17" s="2">
        <f xml:space="preserve"> 0.5 * N17 + 0.2 * T17 + 0.15 * Z17 + 0.15 * AF17</f>
        <v>27.634403147590938</v>
      </c>
      <c r="AL17" s="2">
        <f>0.5*((I17+K17+L17)/3) + 0.5 * ((0.6 *((P17 + R17)/2)) + (0.2 * ((T17 + V17)/2)) + (0.1 * ((AB17 + AD17)/2)) + (0.1 * ((AH17 + AJ17)/2)))</f>
        <v>52.348610521817761</v>
      </c>
      <c r="AM17" s="2">
        <f xml:space="preserve"> 0.2 * E17 + 0.4 * G17 + 0.4 * AK17</f>
        <v>23.872651722692986</v>
      </c>
      <c r="AN17" s="6"/>
      <c r="AO17" s="6"/>
      <c r="AP17" s="6"/>
      <c r="AQ17" s="6"/>
      <c r="AR17" s="6"/>
    </row>
    <row r="18" spans="1:44" x14ac:dyDescent="0.25">
      <c r="A18" s="14">
        <f>A17+1</f>
        <v>12</v>
      </c>
      <c r="B18" s="2" t="s">
        <v>449</v>
      </c>
      <c r="C18" s="2">
        <f>RANK(AM18,$AM$3:$AM$60,1)</f>
        <v>31</v>
      </c>
      <c r="D18" s="2">
        <v>47</v>
      </c>
      <c r="E18" s="2">
        <f xml:space="preserve"> ((D18 - $D$64)/($D$63 - $D$64))*100</f>
        <v>10.244988864142538</v>
      </c>
      <c r="F18" s="2">
        <v>34</v>
      </c>
      <c r="G18" s="2">
        <f xml:space="preserve"> ((F18 - $F$64)/($F$63 - $F$64))*100</f>
        <v>9.375</v>
      </c>
      <c r="H18" s="2" t="b">
        <f>D18&lt;=F18</f>
        <v>0</v>
      </c>
      <c r="I18" s="44">
        <f>VLOOKUP(B18,Uni_TU_Lkp,6,FALSE)</f>
        <v>71.2</v>
      </c>
      <c r="J18" s="44">
        <f>VLOOKUP(B18,Uni_TU_Lkp,7,FALSE)</f>
        <v>79.3</v>
      </c>
      <c r="K18" s="44">
        <f>VLOOKUP(B18,Uni_TU_Lkp,8,FALSE)</f>
        <v>85.8</v>
      </c>
      <c r="L18" s="44">
        <f>VLOOKUP(B18,Uni_TU_Lkp,9,FALSE)</f>
        <v>93.2</v>
      </c>
      <c r="M18" s="11">
        <f>VLOOKUP(B18,AI_Rank,2,FALSE)</f>
        <v>41</v>
      </c>
      <c r="N18" s="2">
        <f xml:space="preserve"> ((M18 - $M$64)/($M$63 - $M$64))*100</f>
        <v>22.222222222222221</v>
      </c>
      <c r="O18" s="11">
        <f>VLOOKUP(B18,AI_Rank,3,FALSE)</f>
        <v>6.7</v>
      </c>
      <c r="P18" s="11">
        <f xml:space="preserve"> ((O18 - $O$64)/($O$63 - $O$64)) * 100</f>
        <v>14.470842332613392</v>
      </c>
      <c r="Q18" s="11">
        <f>VLOOKUP(B18,AI_Rank,4,FALSE)</f>
        <v>19</v>
      </c>
      <c r="R18" s="11">
        <f xml:space="preserve"> ((Q18 - $Q$64)/($Q$63 - $Q$64)) * 100</f>
        <v>25.373134328358208</v>
      </c>
      <c r="S18" s="11">
        <f>VLOOKUP(B18,Theory_Rank,2,FALSE)</f>
        <v>95</v>
      </c>
      <c r="T18" s="2">
        <f xml:space="preserve"> ((S18 - $S$64)/($S$63 - $S$64))*100</f>
        <v>49.214659685863879</v>
      </c>
      <c r="U18" s="11">
        <f>VLOOKUP(B18,Theory_Rank,3,FALSE)</f>
        <v>1.9</v>
      </c>
      <c r="V18" s="11">
        <f xml:space="preserve"> ((U18 - $U$64)/($U$63 - $U$64)) * 100</f>
        <v>14.843749999999996</v>
      </c>
      <c r="W18" s="11">
        <f>VLOOKUP(B18,Theory_Rank,4,FALSE)</f>
        <v>4</v>
      </c>
      <c r="X18" s="11">
        <f xml:space="preserve"> ((W18 - $W$64)/($W$63 - $W$64)) * 100</f>
        <v>17.391304347826086</v>
      </c>
      <c r="Y18" s="11">
        <v>112</v>
      </c>
      <c r="Z18" s="2">
        <f xml:space="preserve"> ((Y18 - $Y$64)/($Y$63 - $Y$64))*100</f>
        <v>100</v>
      </c>
      <c r="AA18" s="11">
        <v>0</v>
      </c>
      <c r="AB18" s="11">
        <f xml:space="preserve"> ((AA18 - $AA$64)/($AA$63 - $AA$64)) * 100</f>
        <v>0</v>
      </c>
      <c r="AC18" s="11">
        <v>0</v>
      </c>
      <c r="AD18" s="11">
        <f xml:space="preserve"> ((AC18 - $AC$64)/($AC$63 - $AC$64)) * 100</f>
        <v>0</v>
      </c>
      <c r="AE18" s="11">
        <v>107</v>
      </c>
      <c r="AF18" s="2">
        <f xml:space="preserve"> ((AE18 - $AE$64)/($AE$63 - $AE$64))*100</f>
        <v>100</v>
      </c>
      <c r="AG18" s="11">
        <v>0</v>
      </c>
      <c r="AH18" s="11">
        <f xml:space="preserve"> ((AG18 - $AG$64)/($AG$63 - $AG$64)) * 100</f>
        <v>0</v>
      </c>
      <c r="AI18" s="11">
        <v>0</v>
      </c>
      <c r="AJ18" s="11">
        <f xml:space="preserve"> ((AI18 - $AI$64)/($AI$63 - $AI$64)) * 100</f>
        <v>0</v>
      </c>
      <c r="AK18" s="2">
        <f xml:space="preserve"> 0.5 * N18 + 0.2 * T18 + 0.15 * Z18 + 0.15 * AF18</f>
        <v>50.954043048283886</v>
      </c>
      <c r="AL18" s="2">
        <f>0.5*((I18+K18+L18)/3) + 0.5 * ((0.6 *((P18 + R18)/2)) + (0.2 * ((T18 + V18)/2)) + (0.1 * ((AB18 + AD18)/2)) + (0.1 * ((AH18 + AJ18)/2)))</f>
        <v>50.879516983438933</v>
      </c>
      <c r="AM18" s="2">
        <f xml:space="preserve"> 0.2 * E18 + 0.4 * G18 + 0.4 * AK18</f>
        <v>26.180614992142061</v>
      </c>
      <c r="AN18" s="6"/>
      <c r="AO18" s="6"/>
      <c r="AP18" s="6"/>
      <c r="AQ18" s="6"/>
      <c r="AR18" s="6"/>
    </row>
    <row r="19" spans="1:44" x14ac:dyDescent="0.25">
      <c r="A19" s="14">
        <f>A18+1</f>
        <v>13</v>
      </c>
      <c r="B19" s="2" t="s">
        <v>126</v>
      </c>
      <c r="C19" s="2">
        <f>RANK(AM19,$AM$3:$AM$60,1)</f>
        <v>33</v>
      </c>
      <c r="D19" s="2">
        <v>93</v>
      </c>
      <c r="E19" s="2">
        <f xml:space="preserve"> ((D19 - $D$64)/($D$63 - $D$64))*100</f>
        <v>20.489977728285076</v>
      </c>
      <c r="F19" s="2">
        <v>75</v>
      </c>
      <c r="G19" s="2">
        <f xml:space="preserve"> ((F19 - $F$64)/($F$63 - $F$64))*100</f>
        <v>21.022727272727273</v>
      </c>
      <c r="H19" s="2" t="b">
        <f>D19&lt;=F19</f>
        <v>0</v>
      </c>
      <c r="I19" s="44">
        <f>VLOOKUP(B19,Uni_TU_Lkp,6,FALSE)</f>
        <v>60.5</v>
      </c>
      <c r="J19" s="44">
        <f>VLOOKUP(B19,Uni_TU_Lkp,7,FALSE)</f>
        <v>75.400000000000006</v>
      </c>
      <c r="K19" s="44">
        <f>VLOOKUP(B19,Uni_TU_Lkp,8,FALSE)</f>
        <v>69.8</v>
      </c>
      <c r="L19" s="44">
        <f>VLOOKUP(B19,Uni_TU_Lkp,9,FALSE)</f>
        <v>89.1</v>
      </c>
      <c r="M19" s="11">
        <f>VLOOKUP(B19,AI_Rank,2,FALSE)</f>
        <v>62</v>
      </c>
      <c r="N19" s="2">
        <f xml:space="preserve"> ((M19 - $M$64)/($M$63 - $M$64))*100</f>
        <v>33.888888888888893</v>
      </c>
      <c r="O19" s="11">
        <f>VLOOKUP(B19,AI_Rank,3,FALSE)</f>
        <v>5.0999999999999996</v>
      </c>
      <c r="P19" s="11">
        <f xml:space="preserve"> ((O19 - $O$64)/($O$63 - $O$64)) * 100</f>
        <v>11.015118790496761</v>
      </c>
      <c r="Q19" s="11">
        <f>VLOOKUP(B19,AI_Rank,4,FALSE)</f>
        <v>14</v>
      </c>
      <c r="R19" s="11">
        <f xml:space="preserve"> ((Q19 - $Q$64)/($Q$63 - $Q$64)) * 100</f>
        <v>17.910447761194028</v>
      </c>
      <c r="S19" s="11">
        <f>VLOOKUP(B19,Theory_Rank,2,FALSE)</f>
        <v>31</v>
      </c>
      <c r="T19" s="2">
        <f xml:space="preserve"> ((S19 - $S$64)/($S$63 - $S$64))*100</f>
        <v>15.706806282722512</v>
      </c>
      <c r="U19" s="11">
        <f>VLOOKUP(B19,Theory_Rank,3,FALSE)</f>
        <v>4.0999999999999996</v>
      </c>
      <c r="V19" s="11">
        <f xml:space="preserve"> ((U19 - $U$64)/($U$63 - $U$64)) * 100</f>
        <v>32.031249999999993</v>
      </c>
      <c r="W19" s="11">
        <f>VLOOKUP(B19,Theory_Rank,4,FALSE)</f>
        <v>8</v>
      </c>
      <c r="X19" s="11">
        <f xml:space="preserve"> ((W19 - $W$64)/($W$63 - $W$64)) * 100</f>
        <v>34.782608695652172</v>
      </c>
      <c r="Y19" s="11">
        <f>VLOOKUP(B19,Systems_Rank,2,FALSE)</f>
        <v>45</v>
      </c>
      <c r="Z19" s="2">
        <f xml:space="preserve"> ((Y19 - $Y$64)/($Y$63 - $Y$64))*100</f>
        <v>39.63963963963964</v>
      </c>
      <c r="AA19" s="11">
        <f>VLOOKUP(B19,Systems_Rank,3,FALSE)</f>
        <v>1.7</v>
      </c>
      <c r="AB19" s="11">
        <f xml:space="preserve"> ((AA19 - $AA$64)/($AA$63 - $AA$64)) * 100</f>
        <v>23.943661971830988</v>
      </c>
      <c r="AC19" s="11">
        <f>VLOOKUP(B19,Systems_Rank,4,FALSE)</f>
        <v>13</v>
      </c>
      <c r="AD19" s="11">
        <f xml:space="preserve"> ((AC19 - $AC$64)/($AC$63 - $AC$64)) * 100</f>
        <v>20.967741935483872</v>
      </c>
      <c r="AE19" s="11">
        <f>VLOOKUP(B19,InterD_Rank,2,FALSE)</f>
        <v>83</v>
      </c>
      <c r="AF19" s="2">
        <f xml:space="preserve"> ((AE19 - $AE$64)/($AE$63 - $AE$64))*100</f>
        <v>77.358490566037744</v>
      </c>
      <c r="AG19" s="11">
        <f>VLOOKUP(B19,InterD_Rank,3,FALSE)</f>
        <v>1.3</v>
      </c>
      <c r="AH19" s="11">
        <f xml:space="preserve"> ((AG19 - $AG$64)/($AG$63 - $AG$64)) * 100</f>
        <v>7.4285714285714288</v>
      </c>
      <c r="AI19" s="11">
        <f>VLOOKUP(B19,InterD_Rank,4,FALSE)</f>
        <v>2</v>
      </c>
      <c r="AJ19" s="11">
        <f xml:space="preserve"> ((AI19 - $AI$64)/($AI$63 - $AI$64)) * 100</f>
        <v>3.3333333333333335</v>
      </c>
      <c r="AK19" s="2">
        <f xml:space="preserve"> 0.5 * N19 + 0.2 * T19 + 0.15 * Z19 + 0.15 * AF19</f>
        <v>37.635525231840553</v>
      </c>
      <c r="AL19" s="2">
        <f>0.5*((I19+K19+L19)/3) + 0.5 * ((0.6 *((P19 + R19)/2)) + (0.2 * ((T19 + V19)/2)) + (0.1 * ((AB19 + AD19)/2)) + (0.1 * ((AH19 + AJ19)/2)))</f>
        <v>44.684237180286907</v>
      </c>
      <c r="AM19" s="2">
        <f xml:space="preserve"> 0.2 * E19 + 0.4 * G19 + 0.4 * AK19</f>
        <v>27.561296547484147</v>
      </c>
      <c r="AN19" s="6"/>
      <c r="AO19" s="6"/>
      <c r="AP19" s="6"/>
      <c r="AQ19" s="6"/>
      <c r="AR19" s="6"/>
    </row>
    <row r="20" spans="1:44" x14ac:dyDescent="0.25">
      <c r="A20" s="14">
        <f>A19+1</f>
        <v>14</v>
      </c>
      <c r="B20" s="2" t="s">
        <v>434</v>
      </c>
      <c r="C20" s="2">
        <f>RANK(AM20,$AM$3:$AM$60,1)</f>
        <v>34</v>
      </c>
      <c r="D20" s="2">
        <v>169</v>
      </c>
      <c r="E20" s="2">
        <f xml:space="preserve"> ((D20 - $D$64)/($D$63 - $D$64))*100</f>
        <v>37.41648106904232</v>
      </c>
      <c r="F20" s="2">
        <v>75</v>
      </c>
      <c r="G20" s="2">
        <f xml:space="preserve"> ((F20 - $F$64)/($F$63 - $F$64))*100</f>
        <v>21.022727272727273</v>
      </c>
      <c r="H20" s="2" t="b">
        <f>D20&lt;=F20</f>
        <v>0</v>
      </c>
      <c r="I20" s="44">
        <f>VLOOKUP(B20,Uni_TU_Lkp,6,FALSE)</f>
        <v>65.400000000000006</v>
      </c>
      <c r="J20" s="44">
        <f>VLOOKUP(B20,Uni_TU_Lkp,7,FALSE)</f>
        <v>61.1</v>
      </c>
      <c r="K20" s="44">
        <f>VLOOKUP(B20,Uni_TU_Lkp,8,FALSE)</f>
        <v>78.5</v>
      </c>
      <c r="L20" s="44">
        <f>VLOOKUP(B20,Uni_TU_Lkp,9,FALSE)</f>
        <v>93.4</v>
      </c>
      <c r="M20" s="11">
        <f>VLOOKUP(B20,AI_Rank,2,FALSE)</f>
        <v>53</v>
      </c>
      <c r="N20" s="2">
        <f xml:space="preserve"> ((M20 - $M$64)/($M$63 - $M$64))*100</f>
        <v>28.888888888888886</v>
      </c>
      <c r="O20" s="11">
        <f>VLOOKUP(B20,AI_Rank,3,FALSE)</f>
        <v>5.7</v>
      </c>
      <c r="P20" s="11">
        <f xml:space="preserve"> ((O20 - $O$64)/($O$63 - $O$64)) * 100</f>
        <v>12.311015118790499</v>
      </c>
      <c r="Q20" s="11">
        <f>VLOOKUP(B20,AI_Rank,4,FALSE)</f>
        <v>13</v>
      </c>
      <c r="R20" s="11">
        <f xml:space="preserve"> ((Q20 - $Q$64)/($Q$63 - $Q$64)) * 100</f>
        <v>16.417910447761194</v>
      </c>
      <c r="S20" s="11">
        <f>VLOOKUP(B20,Theory_Rank,2,FALSE)</f>
        <v>81</v>
      </c>
      <c r="T20" s="2">
        <f xml:space="preserve"> ((S20 - $S$64)/($S$63 - $S$64))*100</f>
        <v>41.8848167539267</v>
      </c>
      <c r="U20" s="11">
        <f>VLOOKUP(B20,Theory_Rank,3,FALSE)</f>
        <v>2.2000000000000002</v>
      </c>
      <c r="V20" s="11">
        <f xml:space="preserve"> ((U20 - $U$64)/($U$63 - $U$64)) * 100</f>
        <v>17.1875</v>
      </c>
      <c r="W20" s="11">
        <f>VLOOKUP(B20,Theory_Rank,4,FALSE)</f>
        <v>5</v>
      </c>
      <c r="X20" s="11">
        <f xml:space="preserve"> ((W20 - $W$64)/($W$63 - $W$64)) * 100</f>
        <v>21.739130434782609</v>
      </c>
      <c r="Y20" s="11">
        <f>VLOOKUP(B20,Systems_Rank,2,FALSE)</f>
        <v>27</v>
      </c>
      <c r="Z20" s="2">
        <f xml:space="preserve"> ((Y20 - $Y$64)/($Y$63 - $Y$64))*100</f>
        <v>23.423423423423422</v>
      </c>
      <c r="AA20" s="11">
        <f>VLOOKUP(B20,Systems_Rank,3,FALSE)</f>
        <v>2.4</v>
      </c>
      <c r="AB20" s="11">
        <f xml:space="preserve"> ((AA20 - $AA$64)/($AA$63 - $AA$64)) * 100</f>
        <v>33.802816901408448</v>
      </c>
      <c r="AC20" s="11">
        <f>VLOOKUP(B20,Systems_Rank,4,FALSE)</f>
        <v>24</v>
      </c>
      <c r="AD20" s="11">
        <f xml:space="preserve"> ((AC20 - $AC$64)/($AC$63 - $AC$64)) * 100</f>
        <v>38.70967741935484</v>
      </c>
      <c r="AE20" s="11">
        <f>VLOOKUP(B20,InterD_Rank,2,FALSE)</f>
        <v>34</v>
      </c>
      <c r="AF20" s="2">
        <f xml:space="preserve"> ((AE20 - $AE$64)/($AE$63 - $AE$64))*100</f>
        <v>31.132075471698112</v>
      </c>
      <c r="AG20" s="11">
        <f>VLOOKUP(B20,InterD_Rank,3,FALSE)</f>
        <v>2.9</v>
      </c>
      <c r="AH20" s="11">
        <f xml:space="preserve"> ((AG20 - $AG$64)/($AG$63 - $AG$64)) * 100</f>
        <v>16.571428571428569</v>
      </c>
      <c r="AI20" s="11">
        <f>VLOOKUP(B20,InterD_Rank,4,FALSE)</f>
        <v>13</v>
      </c>
      <c r="AJ20" s="11">
        <f xml:space="preserve"> ((AI20 - $AI$64)/($AI$63 - $AI$64)) * 100</f>
        <v>21.666666666666668</v>
      </c>
      <c r="AK20" s="2">
        <f xml:space="preserve"> 0.5 * N20 + 0.2 * T20 + 0.15 * Z20 + 0.15 * AF20</f>
        <v>31.004732629498008</v>
      </c>
      <c r="AL20" s="2">
        <f>0.5*((I20+K20+L20)/3) + 0.5 * ((0.6 *((P20 + R20)/2)) + (0.2 * ((T20 + V20)/2)) + (0.1 * ((AB20 + AD20)/2)) + (0.1 * ((AH20 + AJ20)/2)))</f>
        <v>49.581719411650553</v>
      </c>
      <c r="AM20" s="2">
        <f xml:space="preserve"> 0.2 * E20 + 0.4 * G20 + 0.4 * AK20</f>
        <v>28.294280174698578</v>
      </c>
      <c r="AN20" s="6"/>
      <c r="AO20" s="6"/>
      <c r="AP20" s="6"/>
      <c r="AQ20" s="6"/>
      <c r="AR20" s="6"/>
    </row>
    <row r="21" spans="1:44" x14ac:dyDescent="0.25">
      <c r="A21" s="14">
        <f>A20+1</f>
        <v>15</v>
      </c>
      <c r="B21" s="2" t="s">
        <v>414</v>
      </c>
      <c r="C21" s="2">
        <f>RANK(AM21,$AM$3:$AM$60,1)</f>
        <v>38</v>
      </c>
      <c r="D21" s="2">
        <v>95</v>
      </c>
      <c r="E21" s="2">
        <f xml:space="preserve"> ((D21 - $D$64)/($D$63 - $D$64))*100</f>
        <v>20.935412026726059</v>
      </c>
      <c r="F21" s="2">
        <v>75</v>
      </c>
      <c r="G21" s="2">
        <f xml:space="preserve"> ((F21 - $F$64)/($F$63 - $F$64))*100</f>
        <v>21.022727272727273</v>
      </c>
      <c r="H21" s="2" t="b">
        <f>D21&lt;=F21</f>
        <v>0</v>
      </c>
      <c r="I21" s="44">
        <f>VLOOKUP(B21,Uni_TU_Lkp,6,FALSE)</f>
        <v>58.2</v>
      </c>
      <c r="J21" s="44">
        <f>VLOOKUP(B21,Uni_TU_Lkp,7,FALSE)</f>
        <v>69.2</v>
      </c>
      <c r="K21" s="44">
        <f>VLOOKUP(B21,Uni_TU_Lkp,8,FALSE)</f>
        <v>85.8</v>
      </c>
      <c r="L21" s="44">
        <f>VLOOKUP(B21,Uni_TU_Lkp,9,FALSE)</f>
        <v>90.5</v>
      </c>
      <c r="M21" s="11">
        <f>VLOOKUP(B21,AI_Rank,2,FALSE)</f>
        <v>75</v>
      </c>
      <c r="N21" s="2">
        <f xml:space="preserve"> ((M21 - $M$64)/($M$63 - $M$64))*100</f>
        <v>41.111111111111107</v>
      </c>
      <c r="O21" s="11">
        <f>VLOOKUP(B21,AI_Rank,3,FALSE)</f>
        <v>4.5999999999999996</v>
      </c>
      <c r="P21" s="11">
        <f xml:space="preserve"> ((O21 - $O$64)/($O$63 - $O$64)) * 100</f>
        <v>9.9352051835853139</v>
      </c>
      <c r="Q21" s="11">
        <f>VLOOKUP(B21,AI_Rank,4,FALSE)</f>
        <v>11</v>
      </c>
      <c r="R21" s="11">
        <f xml:space="preserve"> ((Q21 - $Q$64)/($Q$63 - $Q$64)) * 100</f>
        <v>13.432835820895523</v>
      </c>
      <c r="S21" s="11">
        <f>VLOOKUP(B21,Theory_Rank,2,FALSE)</f>
        <v>148</v>
      </c>
      <c r="T21" s="2">
        <f xml:space="preserve"> ((S21 - $S$64)/($S$63 - $S$64))*100</f>
        <v>76.96335078534031</v>
      </c>
      <c r="U21" s="11">
        <f>VLOOKUP(B21,Theory_Rank,3,FALSE)</f>
        <v>1.2</v>
      </c>
      <c r="V21" s="11">
        <f xml:space="preserve"> ((U21 - $U$64)/($U$63 - $U$64)) * 100</f>
        <v>9.3749999999999982</v>
      </c>
      <c r="W21" s="11">
        <f>VLOOKUP(B21,Theory_Rank,4,FALSE)</f>
        <v>2</v>
      </c>
      <c r="X21" s="11">
        <f xml:space="preserve"> ((W21 - $W$64)/($W$63 - $W$64)) * 100</f>
        <v>8.695652173913043</v>
      </c>
      <c r="Y21" s="11">
        <f>VLOOKUP(B21,Systems_Rank,2,FALSE)</f>
        <v>11</v>
      </c>
      <c r="Z21" s="2">
        <f xml:space="preserve"> ((Y21 - $Y$64)/($Y$63 - $Y$64))*100</f>
        <v>9.0090090090090094</v>
      </c>
      <c r="AA21" s="11">
        <f>VLOOKUP(B21,Systems_Rank,3,FALSE)</f>
        <v>3.5</v>
      </c>
      <c r="AB21" s="11">
        <f xml:space="preserve"> ((AA21 - $AA$64)/($AA$63 - $AA$64)) * 100</f>
        <v>49.295774647887328</v>
      </c>
      <c r="AC21" s="11">
        <f>VLOOKUP(B21,Systems_Rank,4,FALSE)</f>
        <v>25</v>
      </c>
      <c r="AD21" s="11">
        <f xml:space="preserve"> ((AC21 - $AC$64)/($AC$63 - $AC$64)) * 100</f>
        <v>40.322580645161288</v>
      </c>
      <c r="AE21" s="11">
        <f>VLOOKUP(B21,InterD_Rank,2,FALSE)</f>
        <v>73</v>
      </c>
      <c r="AF21" s="2">
        <f xml:space="preserve"> ((AE21 - $AE$64)/($AE$63 - $AE$64))*100</f>
        <v>67.924528301886795</v>
      </c>
      <c r="AG21" s="11">
        <f>VLOOKUP(B21,InterD_Rank,3,FALSE)</f>
        <v>1.5</v>
      </c>
      <c r="AH21" s="11">
        <f xml:space="preserve"> ((AG21 - $AG$64)/($AG$63 - $AG$64)) * 100</f>
        <v>8.5714285714285712</v>
      </c>
      <c r="AI21" s="11">
        <f>VLOOKUP(B21,InterD_Rank,4,FALSE)</f>
        <v>3</v>
      </c>
      <c r="AJ21" s="11">
        <f xml:space="preserve"> ((AI21 - $AI$64)/($AI$63 - $AI$64)) * 100</f>
        <v>5</v>
      </c>
      <c r="AK21" s="2">
        <f xml:space="preserve"> 0.5 * N21 + 0.2 * T21 + 0.15 * Z21 + 0.15 * AF21</f>
        <v>47.488256309257991</v>
      </c>
      <c r="AL21" s="2">
        <f>0.5*((I21+K21+L21)/3) + 0.5 * ((0.6 *((P21 + R21)/2)) + (0.2 * ((T21 + V21)/2)) + (0.1 * ((AB21 + AD21)/2)) + (0.1 * ((AH21 + AJ21)/2)))</f>
        <v>49.485201619884407</v>
      </c>
      <c r="AM21" s="2">
        <f xml:space="preserve"> 0.2 * E21 + 0.4 * G21 + 0.4 * AK21</f>
        <v>31.591475838139321</v>
      </c>
      <c r="AN21" s="6"/>
      <c r="AO21" s="6"/>
      <c r="AP21" s="6"/>
      <c r="AQ21" s="6"/>
      <c r="AR21" s="6"/>
    </row>
    <row r="22" spans="1:44" x14ac:dyDescent="0.25">
      <c r="A22" s="14">
        <f>A21+1</f>
        <v>16</v>
      </c>
      <c r="B22" s="2" t="s">
        <v>112</v>
      </c>
      <c r="C22" s="2">
        <f>RANK(AM22,$AM$3:$AM$60,1)</f>
        <v>41</v>
      </c>
      <c r="D22" s="2">
        <v>259</v>
      </c>
      <c r="E22" s="2">
        <f xml:space="preserve"> ((D22 - $D$64)/($D$63 - $D$64))*100</f>
        <v>57.461024498886417</v>
      </c>
      <c r="F22" s="2">
        <v>125</v>
      </c>
      <c r="G22" s="2">
        <f xml:space="preserve"> ((F22 - $F$64)/($F$63 - $F$64))*100</f>
        <v>35.227272727272727</v>
      </c>
      <c r="H22" s="2" t="b">
        <f>D22&lt;=F22</f>
        <v>0</v>
      </c>
      <c r="I22" s="44">
        <f>VLOOKUP(B22,Uni_TU_Lkp,6,FALSE)</f>
        <v>63.5</v>
      </c>
      <c r="J22" s="44">
        <f>VLOOKUP(B22,Uni_TU_Lkp,7,FALSE)</f>
        <v>58</v>
      </c>
      <c r="K22" s="44">
        <f>VLOOKUP(B22,Uni_TU_Lkp,8,FALSE)</f>
        <v>77.900000000000006</v>
      </c>
      <c r="L22" s="44">
        <f>VLOOKUP(B22,Uni_TU_Lkp,9,FALSE)</f>
        <v>95</v>
      </c>
      <c r="M22" s="11">
        <f>VLOOKUP(B22,AI_Rank,2,FALSE)</f>
        <v>17</v>
      </c>
      <c r="N22" s="2">
        <f xml:space="preserve"> ((M22 - $M$64)/($M$63 - $M$64))*100</f>
        <v>8.8888888888888893</v>
      </c>
      <c r="O22" s="11">
        <f>VLOOKUP(B22,AI_Rank,3,FALSE)</f>
        <v>11</v>
      </c>
      <c r="P22" s="11">
        <f xml:space="preserve"> ((O22 - $O$64)/($O$63 - $O$64)) * 100</f>
        <v>23.758099352051836</v>
      </c>
      <c r="Q22" s="11">
        <f>VLOOKUP(B22,AI_Rank,4,FALSE)</f>
        <v>26</v>
      </c>
      <c r="R22" s="11">
        <f xml:space="preserve"> ((Q22 - $Q$64)/($Q$63 - $Q$64)) * 100</f>
        <v>35.820895522388057</v>
      </c>
      <c r="S22" s="11">
        <f>VLOOKUP(B22,Theory_Rank,2,FALSE)</f>
        <v>95</v>
      </c>
      <c r="T22" s="2">
        <f xml:space="preserve"> ((S22 - $S$64)/($S$63 - $S$64))*100</f>
        <v>49.214659685863879</v>
      </c>
      <c r="U22" s="11">
        <f>VLOOKUP(B22,Theory_Rank,3,FALSE)</f>
        <v>1.9</v>
      </c>
      <c r="V22" s="11">
        <f xml:space="preserve"> ((U22 - $U$64)/($U$63 - $U$64)) * 100</f>
        <v>14.843749999999996</v>
      </c>
      <c r="W22" s="11">
        <f>VLOOKUP(B22,Theory_Rank,4,FALSE)</f>
        <v>3</v>
      </c>
      <c r="X22" s="11">
        <f xml:space="preserve"> ((W22 - $W$64)/($W$63 - $W$64)) * 100</f>
        <v>13.043478260869565</v>
      </c>
      <c r="Y22" s="11">
        <f>VLOOKUP(B22,Systems_Rank,2,FALSE)</f>
        <v>15</v>
      </c>
      <c r="Z22" s="2">
        <f xml:space="preserve"> ((Y22 - $Y$64)/($Y$63 - $Y$64))*100</f>
        <v>12.612612612612612</v>
      </c>
      <c r="AA22" s="11">
        <f>VLOOKUP(B22,Systems_Rank,3,FALSE)</f>
        <v>3.2</v>
      </c>
      <c r="AB22" s="11">
        <f xml:space="preserve"> ((AA22 - $AA$64)/($AA$63 - $AA$64)) * 100</f>
        <v>45.070422535211272</v>
      </c>
      <c r="AC22" s="11">
        <f>VLOOKUP(B22,Systems_Rank,4,FALSE)</f>
        <v>28</v>
      </c>
      <c r="AD22" s="11">
        <f xml:space="preserve"> ((AC22 - $AC$64)/($AC$63 - $AC$64)) * 100</f>
        <v>45.161290322580641</v>
      </c>
      <c r="AE22" s="11">
        <f>VLOOKUP(B22,InterD_Rank,2,FALSE)</f>
        <v>20</v>
      </c>
      <c r="AF22" s="2">
        <f xml:space="preserve"> ((AE22 - $AE$64)/($AE$63 - $AE$64))*100</f>
        <v>17.924528301886792</v>
      </c>
      <c r="AG22" s="11">
        <f>VLOOKUP(B22,InterD_Rank,3,FALSE)</f>
        <v>4</v>
      </c>
      <c r="AH22" s="11">
        <f xml:space="preserve"> ((AG22 - $AG$64)/($AG$63 - $AG$64)) * 100</f>
        <v>22.857142857142858</v>
      </c>
      <c r="AI22" s="11">
        <f>VLOOKUP(B22,InterD_Rank,4,FALSE)</f>
        <v>11</v>
      </c>
      <c r="AJ22" s="11">
        <f xml:space="preserve"> ((AI22 - $AI$64)/($AI$63 - $AI$64)) * 100</f>
        <v>18.333333333333332</v>
      </c>
      <c r="AK22" s="2">
        <f xml:space="preserve"> 0.5 * N22 + 0.2 * T22 + 0.15 * Z22 + 0.15 * AF22</f>
        <v>18.867947518792132</v>
      </c>
      <c r="AL22" s="2">
        <f>0.5*((I22+K22+L22)/3) + 0.5 * ((0.6 *((P22 + R22)/2)) + (0.2 * ((T22 + V22)/2)) + (0.1 * ((AB22 + AD22)/2)) + (0.1 * ((AH22 + AJ22)/2)))</f>
        <v>54.825324441665877</v>
      </c>
      <c r="AM22" s="2">
        <f xml:space="preserve"> 0.2 * E22 + 0.4 * G22 + 0.4 * AK22</f>
        <v>33.130292998203231</v>
      </c>
    </row>
    <row r="23" spans="1:44" x14ac:dyDescent="0.25">
      <c r="A23" s="14">
        <f>A22+1</f>
        <v>17</v>
      </c>
      <c r="B23" s="2" t="s">
        <v>53</v>
      </c>
      <c r="C23" s="2">
        <f>RANK(AM23,$AM$3:$AM$60,1)</f>
        <v>42</v>
      </c>
      <c r="D23" s="2">
        <v>61</v>
      </c>
      <c r="E23" s="2">
        <f xml:space="preserve"> ((D23 - $D$64)/($D$63 - $D$64))*100</f>
        <v>13.363028953229399</v>
      </c>
      <c r="F23" s="2">
        <v>42</v>
      </c>
      <c r="G23" s="2">
        <f xml:space="preserve"> ((F23 - $F$64)/($F$63 - $F$64))*100</f>
        <v>11.647727272727272</v>
      </c>
      <c r="H23" s="2" t="b">
        <f>D23&lt;=F23</f>
        <v>0</v>
      </c>
      <c r="I23" s="44">
        <f>VLOOKUP(B23,Uni_TU_Lkp,6,FALSE)</f>
        <v>73.8</v>
      </c>
      <c r="J23" s="44">
        <f>VLOOKUP(B23,Uni_TU_Lkp,7,FALSE)</f>
        <v>75.400000000000006</v>
      </c>
      <c r="K23" s="44">
        <f>VLOOKUP(B23,Uni_TU_Lkp,8,FALSE)</f>
        <v>80.599999999999994</v>
      </c>
      <c r="L23" s="44">
        <f>VLOOKUP(B23,Uni_TU_Lkp,9,FALSE)</f>
        <v>84.5</v>
      </c>
      <c r="M23" s="11">
        <f>VLOOKUP(B23,AI_Rank,2,FALSE)</f>
        <v>113</v>
      </c>
      <c r="N23" s="2">
        <f xml:space="preserve"> ((M23 - $M$64)/($M$63 - $M$64))*100</f>
        <v>62.222222222222221</v>
      </c>
      <c r="O23" s="11">
        <f>VLOOKUP(B23,AI_Rank,3,FALSE)</f>
        <v>2.9</v>
      </c>
      <c r="P23" s="11">
        <f xml:space="preserve"> ((O23 - $O$64)/($O$63 - $O$64)) * 100</f>
        <v>6.263498920086394</v>
      </c>
      <c r="Q23" s="11">
        <f>VLOOKUP(B23,AI_Rank,4,FALSE)</f>
        <v>9</v>
      </c>
      <c r="R23" s="11">
        <f xml:space="preserve"> ((Q23 - $Q$64)/($Q$63 - $Q$64)) * 100</f>
        <v>10.44776119402985</v>
      </c>
      <c r="S23" s="11">
        <f>VLOOKUP(B23,Theory_Rank,2,FALSE)</f>
        <v>46</v>
      </c>
      <c r="T23" s="2">
        <f xml:space="preserve"> ((S23 - $S$64)/($S$63 - $S$64))*100</f>
        <v>23.560209424083769</v>
      </c>
      <c r="U23" s="11">
        <f>VLOOKUP(B23,Theory_Rank,3,FALSE)</f>
        <v>3.1</v>
      </c>
      <c r="V23" s="11">
        <f xml:space="preserve"> ((U23 - $U$64)/($U$63 - $U$64)) * 100</f>
        <v>24.21875</v>
      </c>
      <c r="W23" s="11">
        <f>VLOOKUP(B23,Theory_Rank,4,FALSE)</f>
        <v>7</v>
      </c>
      <c r="X23" s="11">
        <f xml:space="preserve"> ((W23 - $W$64)/($W$63 - $W$64)) * 100</f>
        <v>30.434782608695656</v>
      </c>
      <c r="Y23" s="11">
        <v>112</v>
      </c>
      <c r="Z23" s="2">
        <f xml:space="preserve"> ((Y23 - $Y$64)/($Y$63 - $Y$64))*100</f>
        <v>100</v>
      </c>
      <c r="AA23" s="11">
        <v>0</v>
      </c>
      <c r="AB23" s="11">
        <f xml:space="preserve"> ((AA23 - $AA$64)/($AA$63 - $AA$64)) * 100</f>
        <v>0</v>
      </c>
      <c r="AC23" s="11">
        <v>0</v>
      </c>
      <c r="AD23" s="11">
        <f xml:space="preserve"> ((AC23 - $AC$64)/($AC$63 - $AC$64)) * 100</f>
        <v>0</v>
      </c>
      <c r="AE23" s="11">
        <v>107</v>
      </c>
      <c r="AF23" s="2">
        <f xml:space="preserve"> ((AE23 - $AE$64)/($AE$63 - $AE$64))*100</f>
        <v>100</v>
      </c>
      <c r="AG23" s="11">
        <v>0</v>
      </c>
      <c r="AH23" s="11">
        <f xml:space="preserve"> ((AG23 - $AG$64)/($AG$63 - $AG$64)) * 100</f>
        <v>0</v>
      </c>
      <c r="AI23" s="11">
        <v>0</v>
      </c>
      <c r="AJ23" s="11">
        <f xml:space="preserve"> ((AI23 - $AI$64)/($AI$63 - $AI$64)) * 100</f>
        <v>0</v>
      </c>
      <c r="AK23" s="2">
        <f xml:space="preserve"> 0.5 * N23 + 0.2 * T23 + 0.15 * Z23 + 0.15 * AF23</f>
        <v>65.82315299592787</v>
      </c>
      <c r="AL23" s="2">
        <f>0.5*((I23+K23+L23)/3) + 0.5 * ((0.6 *((P23 + R23)/2)) + (0.2 * ((T23 + V23)/2)) + (0.1 * ((AB23 + AD23)/2)) + (0.1 * ((AH23 + AJ23)/2)))</f>
        <v>44.71230365498829</v>
      </c>
      <c r="AM23" s="2">
        <f xml:space="preserve"> 0.2 * E23 + 0.4 * G23 + 0.4 * AK23</f>
        <v>33.660957898107938</v>
      </c>
    </row>
    <row r="24" spans="1:44" x14ac:dyDescent="0.25">
      <c r="A24" s="14">
        <f>A23+1</f>
        <v>18</v>
      </c>
      <c r="B24" s="2" t="s">
        <v>452</v>
      </c>
      <c r="C24" s="2">
        <f>RANK(AM24,$AM$3:$AM$60,1)</f>
        <v>47</v>
      </c>
      <c r="D24" s="2">
        <v>214</v>
      </c>
      <c r="E24" s="2">
        <f xml:space="preserve"> ((D24 - $D$64)/($D$63 - $D$64))*100</f>
        <v>47.438752783964368</v>
      </c>
      <c r="F24" s="2">
        <v>175</v>
      </c>
      <c r="G24" s="2">
        <f xml:space="preserve"> ((F24 - $F$64)/($F$63 - $F$64))*100</f>
        <v>49.43181818181818</v>
      </c>
      <c r="H24" s="2" t="b">
        <f>D24&lt;=F24</f>
        <v>0</v>
      </c>
      <c r="I24" s="44">
        <f>VLOOKUP(B24,Uni_TU_Lkp,6,FALSE)</f>
        <v>55.5</v>
      </c>
      <c r="J24" s="44">
        <f>VLOOKUP(B24,Uni_TU_Lkp,7,FALSE)</f>
        <v>61.8</v>
      </c>
      <c r="K24" s="44">
        <f>VLOOKUP(B24,Uni_TU_Lkp,8,FALSE)</f>
        <v>71</v>
      </c>
      <c r="L24" s="44">
        <f>VLOOKUP(B24,Uni_TU_Lkp,9,FALSE)</f>
        <v>87.9</v>
      </c>
      <c r="M24" s="11">
        <f>VLOOKUP(B24,AI_Rank,2,FALSE)</f>
        <v>42</v>
      </c>
      <c r="N24" s="2">
        <f xml:space="preserve"> ((M24 - $M$64)/($M$63 - $M$64))*100</f>
        <v>22.777777777777779</v>
      </c>
      <c r="O24" s="11">
        <f>VLOOKUP(B24,AI_Rank,3,FALSE)</f>
        <v>6.2</v>
      </c>
      <c r="P24" s="11">
        <f xml:space="preserve"> ((O24 - $O$64)/($O$63 - $O$64)) * 100</f>
        <v>13.390928725701945</v>
      </c>
      <c r="Q24" s="11">
        <f>VLOOKUP(B24,AI_Rank,4,FALSE)</f>
        <v>11</v>
      </c>
      <c r="R24" s="11">
        <f xml:space="preserve"> ((Q24 - $Q$64)/($Q$63 - $Q$64)) * 100</f>
        <v>13.432835820895523</v>
      </c>
      <c r="S24" s="11">
        <f>VLOOKUP(B24,Theory_Rank,2,FALSE)</f>
        <v>66</v>
      </c>
      <c r="T24" s="2">
        <f xml:space="preserve"> ((S24 - $S$64)/($S$63 - $S$64))*100</f>
        <v>34.031413612565444</v>
      </c>
      <c r="U24" s="11">
        <f>VLOOKUP(B24,Theory_Rank,3,FALSE)</f>
        <v>2.5</v>
      </c>
      <c r="V24" s="11">
        <f xml:space="preserve"> ((U24 - $U$64)/($U$63 - $U$64)) * 100</f>
        <v>19.53125</v>
      </c>
      <c r="W24" s="11">
        <f>VLOOKUP(B24,Theory_Rank,4,FALSE)</f>
        <v>3</v>
      </c>
      <c r="X24" s="11">
        <f xml:space="preserve"> ((W24 - $W$64)/($W$63 - $W$64)) * 100</f>
        <v>13.043478260869565</v>
      </c>
      <c r="Y24" s="11">
        <f>VLOOKUP(B24,Systems_Rank,2,FALSE)</f>
        <v>51</v>
      </c>
      <c r="Z24" s="2">
        <f xml:space="preserve"> ((Y24 - $Y$64)/($Y$63 - $Y$64))*100</f>
        <v>45.045045045045043</v>
      </c>
      <c r="AA24" s="11">
        <f>VLOOKUP(B24,Systems_Rank,3,FALSE)</f>
        <v>1.6</v>
      </c>
      <c r="AB24" s="11">
        <f xml:space="preserve"> ((AA24 - $AA$64)/($AA$63 - $AA$64)) * 100</f>
        <v>22.535211267605636</v>
      </c>
      <c r="AC24" s="11">
        <f>VLOOKUP(B24,Systems_Rank,4,FALSE)</f>
        <v>13</v>
      </c>
      <c r="AD24" s="11">
        <f xml:space="preserve"> ((AC24 - $AC$64)/($AC$63 - $AC$64)) * 100</f>
        <v>20.967741935483872</v>
      </c>
      <c r="AE24" s="11">
        <f>VLOOKUP(B24,InterD_Rank,2,FALSE)</f>
        <v>50</v>
      </c>
      <c r="AF24" s="2">
        <f xml:space="preserve"> ((AE24 - $AE$64)/($AE$63 - $AE$64))*100</f>
        <v>46.226415094339622</v>
      </c>
      <c r="AG24" s="11">
        <f>VLOOKUP(B24,InterD_Rank,3,FALSE)</f>
        <v>2.1</v>
      </c>
      <c r="AH24" s="11">
        <f xml:space="preserve"> ((AG24 - $AG$64)/($AG$63 - $AG$64)) * 100</f>
        <v>12.000000000000002</v>
      </c>
      <c r="AI24" s="11">
        <f>VLOOKUP(B24,InterD_Rank,4,FALSE)</f>
        <v>6</v>
      </c>
      <c r="AJ24" s="11">
        <f xml:space="preserve"> ((AI24 - $AI$64)/($AI$63 - $AI$64)) * 100</f>
        <v>10</v>
      </c>
      <c r="AK24" s="2">
        <f xml:space="preserve"> 0.5 * N24 + 0.2 * T24 + 0.15 * Z24 + 0.15 * AF24</f>
        <v>31.885890632309675</v>
      </c>
      <c r="AL24" s="2">
        <f>0.5*((I24+K24+L24)/3) + 0.5 * ((0.6 *((P24 + R24)/2)) + (0.2 * ((T24 + V24)/2)) + (0.1 * ((AB24 + AD24)/2)) + (0.1 * ((AH24 + AJ24)/2)))</f>
        <v>44.072605026028462</v>
      </c>
      <c r="AM24" s="2">
        <f xml:space="preserve"> 0.2 * E24 + 0.4 * G24 + 0.4 * AK24</f>
        <v>42.014834082444018</v>
      </c>
    </row>
    <row r="25" spans="1:44" x14ac:dyDescent="0.25">
      <c r="A25" s="14">
        <v>1</v>
      </c>
      <c r="B25" s="2" t="s">
        <v>247</v>
      </c>
      <c r="C25" s="2">
        <f>RANK(AM25,$AM$3:$AM$60,1)</f>
        <v>50</v>
      </c>
      <c r="D25" s="2">
        <v>212</v>
      </c>
      <c r="E25" s="2">
        <f xml:space="preserve"> ((D25 - $D$64)/($D$63 - $D$64))*100</f>
        <v>46.993318485523382</v>
      </c>
      <c r="F25" s="2">
        <v>175</v>
      </c>
      <c r="G25" s="2">
        <f xml:space="preserve"> ((F25 - $F$64)/($F$63 - $F$64))*100</f>
        <v>49.43181818181818</v>
      </c>
      <c r="H25" s="2" t="b">
        <f>D25&lt;=F25</f>
        <v>0</v>
      </c>
      <c r="I25" s="44">
        <f>VLOOKUP(B25,Uni_TU_Lkp,6,FALSE)</f>
        <v>49.5</v>
      </c>
      <c r="J25" s="44">
        <f>VLOOKUP(B25,Uni_TU_Lkp,7,FALSE)</f>
        <v>65.599999999999994</v>
      </c>
      <c r="K25" s="44">
        <f>VLOOKUP(B25,Uni_TU_Lkp,8,FALSE)</f>
        <v>80</v>
      </c>
      <c r="L25" s="44">
        <f>VLOOKUP(B25,Uni_TU_Lkp,9,FALSE)</f>
        <v>88.6</v>
      </c>
      <c r="M25" s="11">
        <f>VLOOKUP(B25,AI_Rank,2,FALSE)</f>
        <v>55</v>
      </c>
      <c r="N25" s="2">
        <f xml:space="preserve"> ((M25 - $M$64)/($M$63 - $M$64))*100</f>
        <v>30</v>
      </c>
      <c r="O25" s="11">
        <f>VLOOKUP(B25,AI_Rank,3,FALSE)</f>
        <v>5.6</v>
      </c>
      <c r="P25" s="11">
        <f xml:space="preserve"> ((O25 - $O$64)/($O$63 - $O$64)) * 100</f>
        <v>12.095032397408207</v>
      </c>
      <c r="Q25" s="11">
        <f>VLOOKUP(B25,AI_Rank,4,FALSE)</f>
        <v>13</v>
      </c>
      <c r="R25" s="11">
        <f xml:space="preserve"> ((Q25 - $Q$64)/($Q$63 - $Q$64)) * 100</f>
        <v>16.417910447761194</v>
      </c>
      <c r="S25" s="11">
        <v>192</v>
      </c>
      <c r="T25" s="2">
        <f xml:space="preserve"> ((S25 - $S$64)/($S$63 - $S$64))*100</f>
        <v>100</v>
      </c>
      <c r="U25" s="11">
        <v>0</v>
      </c>
      <c r="V25" s="11">
        <f xml:space="preserve"> ((U25 - $U$64)/($U$63 - $U$64)) * 100</f>
        <v>0</v>
      </c>
      <c r="W25" s="11">
        <v>0</v>
      </c>
      <c r="X25" s="11">
        <f xml:space="preserve"> ((W25 - $W$64)/($W$63 - $W$64)) * 100</f>
        <v>0</v>
      </c>
      <c r="Y25" s="11">
        <f>VLOOKUP(B25,Systems_Rank,2,FALSE)</f>
        <v>57</v>
      </c>
      <c r="Z25" s="2">
        <f xml:space="preserve"> ((Y25 - $Y$64)/($Y$63 - $Y$64))*100</f>
        <v>50.450450450450447</v>
      </c>
      <c r="AA25" s="11">
        <f>VLOOKUP(B25,Systems_Rank,3,FALSE)</f>
        <v>1.5</v>
      </c>
      <c r="AB25" s="11">
        <f xml:space="preserve"> ((AA25 - $AA$64)/($AA$63 - $AA$64)) * 100</f>
        <v>21.126760563380284</v>
      </c>
      <c r="AC25" s="11">
        <f>VLOOKUP(B25,Systems_Rank,4,FALSE)</f>
        <v>9</v>
      </c>
      <c r="AD25" s="11">
        <f xml:space="preserve"> ((AC25 - $AC$64)/($AC$63 - $AC$64)) * 100</f>
        <v>14.516129032258066</v>
      </c>
      <c r="AE25" s="11">
        <f>VLOOKUP(B25,InterD_Rank,2,FALSE)</f>
        <v>20</v>
      </c>
      <c r="AF25" s="2">
        <f xml:space="preserve"> ((AE25 - $AE$64)/($AE$63 - $AE$64))*100</f>
        <v>17.924528301886792</v>
      </c>
      <c r="AG25" s="11">
        <f>VLOOKUP(B25,InterD_Rank,3,FALSE)</f>
        <v>4</v>
      </c>
      <c r="AH25" s="11">
        <f xml:space="preserve"> ((AG25 - $AG$64)/($AG$63 - $AG$64)) * 100</f>
        <v>22.857142857142858</v>
      </c>
      <c r="AI25" s="11">
        <f>VLOOKUP(B25,InterD_Rank,4,FALSE)</f>
        <v>10</v>
      </c>
      <c r="AJ25" s="11">
        <f xml:space="preserve"> ((AI25 - $AI$64)/($AI$63 - $AI$64)) * 100</f>
        <v>16.666666666666664</v>
      </c>
      <c r="AK25" s="2">
        <f xml:space="preserve"> 0.5 * N25 + 0.2 * T25 + 0.15 * Z25 + 0.15 * AF25</f>
        <v>45.256246812850584</v>
      </c>
      <c r="AL25" s="2">
        <f>0.5*((I25+K25+L25)/3) + 0.5 * ((0.6 *((P25 + R25)/2)) + (0.2 * ((T25 + V25)/2)) + (0.1 * ((AB25 + AD25)/2)) + (0.1 * ((AH25 + AJ25)/2)))</f>
        <v>47.506108904761604</v>
      </c>
      <c r="AM25" s="2">
        <f xml:space="preserve"> 0.2 * E25 + 0.4 * G25 + 0.4 * AK25</f>
        <v>47.273889694972183</v>
      </c>
    </row>
    <row r="26" spans="1:44" x14ac:dyDescent="0.25">
      <c r="A26" s="14">
        <f>A25+1</f>
        <v>2</v>
      </c>
      <c r="B26" s="2" t="s">
        <v>20</v>
      </c>
      <c r="C26" s="2">
        <f>RANK(AM26,$AM$3:$AM$60,1)</f>
        <v>51</v>
      </c>
      <c r="D26" s="2">
        <v>203</v>
      </c>
      <c r="E26" s="2">
        <f xml:space="preserve"> ((D26 - $D$64)/($D$63 - $D$64))*100</f>
        <v>44.988864142538972</v>
      </c>
      <c r="F26" s="2">
        <v>175</v>
      </c>
      <c r="G26" s="2">
        <f xml:space="preserve"> ((F26 - $F$64)/($F$63 - $F$64))*100</f>
        <v>49.43181818181818</v>
      </c>
      <c r="H26" s="2" t="b">
        <f>D26&lt;=F26</f>
        <v>0</v>
      </c>
      <c r="I26" s="44">
        <f>VLOOKUP(B26,Uni_TU_Lkp,6,FALSE)</f>
        <v>50.2</v>
      </c>
      <c r="J26" s="44">
        <f>VLOOKUP(B26,Uni_TU_Lkp,7,FALSE)</f>
        <v>65.5</v>
      </c>
      <c r="K26" s="44">
        <f>VLOOKUP(B26,Uni_TU_Lkp,8,FALSE)</f>
        <v>79.400000000000006</v>
      </c>
      <c r="L26" s="44">
        <f>VLOOKUP(B26,Uni_TU_Lkp,9,FALSE)</f>
        <v>85.7</v>
      </c>
      <c r="M26" s="11">
        <f>VLOOKUP(B26,AI_Rank,2,FALSE)</f>
        <v>91</v>
      </c>
      <c r="N26" s="2">
        <f xml:space="preserve"> ((M26 - $M$64)/($M$63 - $M$64))*100</f>
        <v>50</v>
      </c>
      <c r="O26" s="11">
        <f>VLOOKUP(B26,AI_Rank,3,FALSE)</f>
        <v>3.9</v>
      </c>
      <c r="P26" s="11">
        <f xml:space="preserve"> ((O26 - $O$64)/($O$63 - $O$64)) * 100</f>
        <v>8.4233261339092884</v>
      </c>
      <c r="Q26" s="11">
        <f>VLOOKUP(B26,AI_Rank,4,FALSE)</f>
        <v>12</v>
      </c>
      <c r="R26" s="11">
        <f xml:space="preserve"> ((Q26 - $Q$64)/($Q$63 - $Q$64)) * 100</f>
        <v>14.925373134328357</v>
      </c>
      <c r="S26" s="11">
        <v>192</v>
      </c>
      <c r="T26" s="2">
        <f xml:space="preserve"> ((S26 - $S$64)/($S$63 - $S$64))*100</f>
        <v>100</v>
      </c>
      <c r="U26" s="11">
        <v>0</v>
      </c>
      <c r="V26" s="11">
        <f xml:space="preserve"> ((U26 - $U$64)/($U$63 - $U$64)) * 100</f>
        <v>0</v>
      </c>
      <c r="W26" s="11">
        <v>0</v>
      </c>
      <c r="X26" s="11">
        <f xml:space="preserve"> ((W26 - $W$64)/($W$63 - $W$64)) * 100</f>
        <v>0</v>
      </c>
      <c r="Y26" s="11">
        <f>VLOOKUP(B26,Systems_Rank,2,FALSE)</f>
        <v>29</v>
      </c>
      <c r="Z26" s="2">
        <f xml:space="preserve"> ((Y26 - $Y$64)/($Y$63 - $Y$64))*100</f>
        <v>25.225225225225223</v>
      </c>
      <c r="AA26" s="11">
        <f>VLOOKUP(B26,Systems_Rank,3,FALSE)</f>
        <v>2.2000000000000002</v>
      </c>
      <c r="AB26" s="11">
        <f xml:space="preserve"> ((AA26 - $AA$64)/($AA$63 - $AA$64)) * 100</f>
        <v>30.985915492957751</v>
      </c>
      <c r="AC26" s="11">
        <f>VLOOKUP(B26,Systems_Rank,4,FALSE)</f>
        <v>11</v>
      </c>
      <c r="AD26" s="11">
        <f xml:space="preserve"> ((AC26 - $AC$64)/($AC$63 - $AC$64)) * 100</f>
        <v>17.741935483870968</v>
      </c>
      <c r="AE26" s="11">
        <f>VLOOKUP(B26,InterD_Rank,2,FALSE)</f>
        <v>13</v>
      </c>
      <c r="AF26" s="2">
        <f xml:space="preserve"> ((AE26 - $AE$64)/($AE$63 - $AE$64))*100</f>
        <v>11.320754716981133</v>
      </c>
      <c r="AG26" s="11">
        <f>VLOOKUP(B26,InterD_Rank,3,FALSE)</f>
        <v>6.1</v>
      </c>
      <c r="AH26" s="11">
        <f xml:space="preserve"> ((AG26 - $AG$64)/($AG$63 - $AG$64)) * 100</f>
        <v>34.857142857142854</v>
      </c>
      <c r="AI26" s="11">
        <f>VLOOKUP(B26,InterD_Rank,4,FALSE)</f>
        <v>11</v>
      </c>
      <c r="AJ26" s="11">
        <f xml:space="preserve"> ((AI26 - $AI$64)/($AI$63 - $AI$64)) * 100</f>
        <v>18.333333333333332</v>
      </c>
      <c r="AK26" s="2">
        <f xml:space="preserve"> 0.5 * N26 + 0.2 * T26 + 0.15 * Z26 + 0.15 * AF26</f>
        <v>50.481896991330956</v>
      </c>
      <c r="AL26" s="2">
        <f>0.5*((I26+K26+L26)/3) + 0.5 * ((0.6 *((P26 + R26)/2)) + (0.2 * ((T26 + V26)/2)) + (0.1 * ((AB26 + AD26)/2)) + (0.1 * ((AH26 + AJ26)/2)))</f>
        <v>46.933596402751604</v>
      </c>
      <c r="AM26" s="2">
        <f xml:space="preserve"> 0.2 * E26 + 0.4 * G26 + 0.4 * AK26</f>
        <v>48.963258897767453</v>
      </c>
    </row>
    <row r="27" spans="1:44" x14ac:dyDescent="0.25">
      <c r="A27" s="14">
        <f>A26+1</f>
        <v>3</v>
      </c>
      <c r="B27" s="2" t="s">
        <v>431</v>
      </c>
      <c r="C27" s="2">
        <f>RANK(AM27,$AM$3:$AM$60,1)</f>
        <v>55</v>
      </c>
      <c r="D27" s="2">
        <v>279</v>
      </c>
      <c r="E27" s="2">
        <f xml:space="preserve"> ((D27 - $D$64)/($D$63 - $D$64))*100</f>
        <v>61.915367483296215</v>
      </c>
      <c r="F27" s="2">
        <v>175</v>
      </c>
      <c r="G27" s="2">
        <f xml:space="preserve"> ((F27 - $F$64)/($F$63 - $F$64))*100</f>
        <v>49.43181818181818</v>
      </c>
      <c r="H27" s="2" t="b">
        <f>D27&lt;=F27</f>
        <v>0</v>
      </c>
      <c r="I27" s="44">
        <f>VLOOKUP(B27,Uni_TU_Lkp,6,FALSE)</f>
        <v>50.7</v>
      </c>
      <c r="J27" s="44">
        <f>VLOOKUP(B27,Uni_TU_Lkp,7,FALSE)</f>
        <v>58.6</v>
      </c>
      <c r="K27" s="44">
        <f>VLOOKUP(B27,Uni_TU_Lkp,8,FALSE)</f>
        <v>81.400000000000006</v>
      </c>
      <c r="L27" s="44">
        <f>VLOOKUP(B27,Uni_TU_Lkp,9,FALSE)</f>
        <v>92.8</v>
      </c>
      <c r="M27" s="11">
        <f>VLOOKUP(B27,AI_Rank,2,FALSE)</f>
        <v>172</v>
      </c>
      <c r="N27" s="2">
        <f xml:space="preserve"> ((M27 - $M$64)/($M$63 - $M$64))*100</f>
        <v>95</v>
      </c>
      <c r="O27" s="11">
        <f>VLOOKUP(B27,AI_Rank,3,FALSE)</f>
        <v>1.8</v>
      </c>
      <c r="P27" s="11">
        <f xml:space="preserve"> ((O27 - $O$64)/($O$63 - $O$64)) * 100</f>
        <v>3.8876889848812102</v>
      </c>
      <c r="Q27" s="11">
        <f>VLOOKUP(B27,AI_Rank,4,FALSE)</f>
        <v>10</v>
      </c>
      <c r="R27" s="11">
        <f xml:space="preserve"> ((Q27 - $Q$64)/($Q$63 - $Q$64)) * 100</f>
        <v>11.940298507462686</v>
      </c>
      <c r="S27" s="11">
        <f>VLOOKUP(B27,Theory_Rank,2,FALSE)</f>
        <v>110</v>
      </c>
      <c r="T27" s="2">
        <f xml:space="preserve"> ((S27 - $S$64)/($S$63 - $S$64))*100</f>
        <v>57.068062827225127</v>
      </c>
      <c r="U27" s="11">
        <f>VLOOKUP(B27,Theory_Rank,3,FALSE)</f>
        <v>1.7</v>
      </c>
      <c r="V27" s="11">
        <f xml:space="preserve"> ((U27 - $U$64)/($U$63 - $U$64)) * 100</f>
        <v>13.28125</v>
      </c>
      <c r="W27" s="11">
        <f>VLOOKUP(B27,Theory_Rank,4,FALSE)</f>
        <v>2</v>
      </c>
      <c r="X27" s="11">
        <f xml:space="preserve"> ((W27 - $W$64)/($W$63 - $W$64)) * 100</f>
        <v>8.695652173913043</v>
      </c>
      <c r="Y27" s="11">
        <f>VLOOKUP(B27,Systems_Rank,2,FALSE)</f>
        <v>25</v>
      </c>
      <c r="Z27" s="2">
        <f xml:space="preserve"> ((Y27 - $Y$64)/($Y$63 - $Y$64))*100</f>
        <v>21.621621621621621</v>
      </c>
      <c r="AA27" s="11">
        <f>VLOOKUP(B27,Systems_Rank,3,FALSE)</f>
        <v>2.5</v>
      </c>
      <c r="AB27" s="11">
        <f xml:space="preserve"> ((AA27 - $AA$64)/($AA$63 - $AA$64)) * 100</f>
        <v>35.211267605633807</v>
      </c>
      <c r="AC27" s="11">
        <f>VLOOKUP(B27,Systems_Rank,4,FALSE)</f>
        <v>17</v>
      </c>
      <c r="AD27" s="11">
        <f xml:space="preserve"> ((AC27 - $AC$64)/($AC$63 - $AC$64)) * 100</f>
        <v>27.419354838709676</v>
      </c>
      <c r="AE27" s="11">
        <f>VLOOKUP(B27,InterD_Rank,2,FALSE)</f>
        <v>65</v>
      </c>
      <c r="AF27" s="2">
        <f xml:space="preserve"> ((AE27 - $AE$64)/($AE$63 - $AE$64))*100</f>
        <v>60.377358490566039</v>
      </c>
      <c r="AG27" s="11">
        <f>VLOOKUP(B27,InterD_Rank,3,FALSE)</f>
        <v>1.7</v>
      </c>
      <c r="AH27" s="11">
        <f xml:space="preserve"> ((AG27 - $AG$64)/($AG$63 - $AG$64)) * 100</f>
        <v>9.7142857142857135</v>
      </c>
      <c r="AI27" s="11">
        <f>VLOOKUP(B27,InterD_Rank,4,FALSE)</f>
        <v>6</v>
      </c>
      <c r="AJ27" s="11">
        <f xml:space="preserve"> ((AI27 - $AI$64)/($AI$63 - $AI$64)) * 100</f>
        <v>10</v>
      </c>
      <c r="AK27" s="2">
        <f xml:space="preserve"> 0.5 * N27 + 0.2 * T27 + 0.15 * Z27 + 0.15 * AF27</f>
        <v>71.213459582273174</v>
      </c>
      <c r="AL27" s="2">
        <f>0.5*((I27+K27+L27)/3) + 0.5 * ((0.6 *((P27 + R27)/2)) + (0.2 * ((T27 + V27)/2)) + (0.1 * ((AB27 + AD27)/2)) + (0.1 * ((AH27 + AJ27)/2)))</f>
        <v>45.433619802511913</v>
      </c>
      <c r="AM27" s="2">
        <f xml:space="preserve"> 0.2 * E27 + 0.4 * G27 + 0.4 * AK27</f>
        <v>60.641184602295787</v>
      </c>
    </row>
    <row r="28" spans="1:44" x14ac:dyDescent="0.25">
      <c r="A28" s="14">
        <f>A27+1</f>
        <v>4</v>
      </c>
      <c r="B28" s="2" t="s">
        <v>450</v>
      </c>
      <c r="C28" s="2">
        <f>RANK(AM28,$AM$3:$AM$60,1)</f>
        <v>57</v>
      </c>
      <c r="D28" s="2">
        <v>450</v>
      </c>
      <c r="E28" s="2">
        <f xml:space="preserve"> ((D28 - $D$64)/($D$63 - $D$64))*100</f>
        <v>100</v>
      </c>
      <c r="F28" s="2">
        <v>353</v>
      </c>
      <c r="G28" s="2">
        <f xml:space="preserve"> ((F28 - $F$64)/($F$63 - $F$64))*100</f>
        <v>100</v>
      </c>
      <c r="H28" s="2" t="b">
        <f>D28&lt;=F28</f>
        <v>0</v>
      </c>
      <c r="I28" s="44">
        <v>30.884152516916572</v>
      </c>
      <c r="J28" s="44">
        <v>39.450696878377585</v>
      </c>
      <c r="K28" s="44">
        <v>57.131833893930533</v>
      </c>
      <c r="L28" s="44">
        <v>70.736114709936729</v>
      </c>
      <c r="M28" s="11">
        <f>VLOOKUP(B28,AI_Rank,2,FALSE)</f>
        <v>44</v>
      </c>
      <c r="N28" s="2">
        <f xml:space="preserve"> ((M28 - $M$64)/($M$63 - $M$64))*100</f>
        <v>23.888888888888889</v>
      </c>
      <c r="O28" s="11">
        <f>VLOOKUP(B28,AI_Rank,3,FALSE)</f>
        <v>6.1</v>
      </c>
      <c r="P28" s="11">
        <f xml:space="preserve"> ((O28 - $O$64)/($O$63 - $O$64)) * 100</f>
        <v>13.174946004319654</v>
      </c>
      <c r="Q28" s="11">
        <f>VLOOKUP(B28,AI_Rank,4,FALSE)</f>
        <v>10</v>
      </c>
      <c r="R28" s="11">
        <f xml:space="preserve"> ((Q28 - $Q$64)/($Q$63 - $Q$64)) * 100</f>
        <v>11.940298507462686</v>
      </c>
      <c r="S28" s="11">
        <f>VLOOKUP(B28,Theory_Rank,2,FALSE)</f>
        <v>55</v>
      </c>
      <c r="T28" s="2">
        <f xml:space="preserve"> ((S28 - $S$64)/($S$63 - $S$64))*100</f>
        <v>28.272251308900525</v>
      </c>
      <c r="U28" s="11">
        <f>VLOOKUP(B28,Theory_Rank,3,FALSE)</f>
        <v>2.8</v>
      </c>
      <c r="V28" s="11">
        <f xml:space="preserve"> ((U28 - $U$64)/($U$63 - $U$64)) * 100</f>
        <v>21.874999999999996</v>
      </c>
      <c r="W28" s="11">
        <f>VLOOKUP(B28,Theory_Rank,4,FALSE)</f>
        <v>3</v>
      </c>
      <c r="X28" s="11">
        <f xml:space="preserve"> ((W28 - $W$64)/($W$63 - $W$64)) * 100</f>
        <v>13.043478260869565</v>
      </c>
      <c r="Y28" s="11">
        <f>VLOOKUP(B28,Systems_Rank,2,FALSE)</f>
        <v>39</v>
      </c>
      <c r="Z28" s="2">
        <f xml:space="preserve"> ((Y28 - $Y$64)/($Y$63 - $Y$64))*100</f>
        <v>34.234234234234236</v>
      </c>
      <c r="AA28" s="11">
        <f>VLOOKUP(B28,Systems_Rank,3,FALSE)</f>
        <v>1.8</v>
      </c>
      <c r="AB28" s="11">
        <f xml:space="preserve"> ((AA28 - $AA$64)/($AA$63 - $AA$64)) * 100</f>
        <v>25.352112676056336</v>
      </c>
      <c r="AC28" s="11">
        <f>VLOOKUP(B28,Systems_Rank,4,FALSE)</f>
        <v>17</v>
      </c>
      <c r="AD28" s="11">
        <f xml:space="preserve"> ((AC28 - $AC$64)/($AC$63 - $AC$64)) * 100</f>
        <v>27.419354838709676</v>
      </c>
      <c r="AE28" s="11">
        <f>VLOOKUP(B28,InterD_Rank,2,FALSE)</f>
        <v>50</v>
      </c>
      <c r="AF28" s="2">
        <f xml:space="preserve"> ((AE28 - $AE$64)/($AE$63 - $AE$64))*100</f>
        <v>46.226415094339622</v>
      </c>
      <c r="AG28" s="11">
        <f>VLOOKUP(B28,InterD_Rank,3,FALSE)</f>
        <v>2.1</v>
      </c>
      <c r="AH28" s="11">
        <f xml:space="preserve"> ((AG28 - $AG$64)/($AG$63 - $AG$64)) * 100</f>
        <v>12.000000000000002</v>
      </c>
      <c r="AI28" s="11">
        <f>VLOOKUP(B28,InterD_Rank,4,FALSE)</f>
        <v>7</v>
      </c>
      <c r="AJ28" s="11">
        <f xml:space="preserve"> ((AI28 - $AI$64)/($AI$63 - $AI$64)) * 100</f>
        <v>11.666666666666666</v>
      </c>
      <c r="AK28" s="2">
        <f xml:space="preserve"> 0.5 * N28 + 0.2 * T28 + 0.15 * Z28 + 0.15 * AF28</f>
        <v>29.667992105510628</v>
      </c>
      <c r="AL28" s="2">
        <f>0.5*((I28+K28+L28)/3) + 0.5 * ((0.6 *((P28 + R28)/2)) + (0.2 * ((T28 + V28)/2)) + (0.1 * ((AB28 + AD28)/2)) + (0.1 * ((AH28 + AJ28)/2)))</f>
        <v>34.644286116878831</v>
      </c>
      <c r="AM28" s="2">
        <f xml:space="preserve"> 0.2 * E28 + 0.4 * G28 + 0.4 * AK28</f>
        <v>71.867196842204251</v>
      </c>
    </row>
    <row r="29" spans="1:44" x14ac:dyDescent="0.25">
      <c r="A29" s="14">
        <f>A28+1</f>
        <v>5</v>
      </c>
      <c r="B29" s="2" t="s">
        <v>418</v>
      </c>
      <c r="C29" s="2">
        <f>RANK(AM29,$AM$3:$AM$60,1)</f>
        <v>58</v>
      </c>
      <c r="D29" s="2">
        <v>384</v>
      </c>
      <c r="E29" s="2">
        <f xml:space="preserve"> ((D29 - $D$64)/($D$63 - $D$64))*100</f>
        <v>85.300668151447653</v>
      </c>
      <c r="F29" s="2">
        <v>325</v>
      </c>
      <c r="G29" s="2">
        <f xml:space="preserve"> ((F29 - $F$64)/($F$63 - $F$64))*100</f>
        <v>92.045454545454547</v>
      </c>
      <c r="H29" s="2" t="b">
        <f>D29&lt;=F29</f>
        <v>0</v>
      </c>
      <c r="I29" s="44">
        <f>VLOOKUP(B29,Uni_TU_Lkp,6,FALSE)</f>
        <v>40.299999999999997</v>
      </c>
      <c r="J29" s="44">
        <f>VLOOKUP(B29,Uni_TU_Lkp,7,FALSE)</f>
        <v>53.9</v>
      </c>
      <c r="K29" s="44">
        <f>VLOOKUP(B29,Uni_TU_Lkp,8,FALSE)</f>
        <v>77.900000000000006</v>
      </c>
      <c r="L29" s="44">
        <f>VLOOKUP(B29,Uni_TU_Lkp,9,FALSE)</f>
        <v>93.2</v>
      </c>
      <c r="M29" s="11">
        <f>VLOOKUP(B29,AI_Rank,2,FALSE)</f>
        <v>131</v>
      </c>
      <c r="N29" s="2">
        <f xml:space="preserve"> ((M29 - $M$64)/($M$63 - $M$64))*100</f>
        <v>72.222222222222214</v>
      </c>
      <c r="O29" s="11">
        <f>VLOOKUP(B29,AI_Rank,3,FALSE)</f>
        <v>2.4</v>
      </c>
      <c r="P29" s="11">
        <f xml:space="preserve"> ((O29 - $O$64)/($O$63 - $O$64)) * 100</f>
        <v>5.1835853131749463</v>
      </c>
      <c r="Q29" s="11">
        <f>VLOOKUP(B29,AI_Rank,4,FALSE)</f>
        <v>9</v>
      </c>
      <c r="R29" s="11">
        <f xml:space="preserve"> ((Q29 - $Q$64)/($Q$63 - $Q$64)) * 100</f>
        <v>10.44776119402985</v>
      </c>
      <c r="S29" s="11">
        <f>VLOOKUP(B29,Theory_Rank,2,FALSE)</f>
        <v>110</v>
      </c>
      <c r="T29" s="2">
        <f xml:space="preserve"> ((S29 - $S$64)/($S$63 - $S$64))*100</f>
        <v>57.068062827225127</v>
      </c>
      <c r="U29" s="11">
        <f>VLOOKUP(B29,Theory_Rank,3,FALSE)</f>
        <v>1.7</v>
      </c>
      <c r="V29" s="11">
        <f xml:space="preserve"> ((U29 - $U$64)/($U$63 - $U$64)) * 100</f>
        <v>13.28125</v>
      </c>
      <c r="W29" s="11">
        <f>VLOOKUP(B29,Theory_Rank,4,FALSE)</f>
        <v>4</v>
      </c>
      <c r="X29" s="11">
        <f xml:space="preserve"> ((W29 - $W$64)/($W$63 - $W$64)) * 100</f>
        <v>17.391304347826086</v>
      </c>
      <c r="Y29" s="11">
        <f>VLOOKUP(B29,Systems_Rank,2,FALSE)</f>
        <v>15</v>
      </c>
      <c r="Z29" s="2">
        <f xml:space="preserve"> ((Y29 - $Y$64)/($Y$63 - $Y$64))*100</f>
        <v>12.612612612612612</v>
      </c>
      <c r="AA29" s="11">
        <f>VLOOKUP(B29,Systems_Rank,3,FALSE)</f>
        <v>3.2</v>
      </c>
      <c r="AB29" s="11">
        <f xml:space="preserve"> ((AA29 - $AA$64)/($AA$63 - $AA$64)) * 100</f>
        <v>45.070422535211272</v>
      </c>
      <c r="AC29" s="11">
        <f>VLOOKUP(B29,Systems_Rank,4,FALSE)</f>
        <v>25</v>
      </c>
      <c r="AD29" s="11">
        <f xml:space="preserve"> ((AC29 - $AC$64)/($AC$63 - $AC$64)) * 100</f>
        <v>40.322580645161288</v>
      </c>
      <c r="AE29" s="11">
        <f>VLOOKUP(B29,InterD_Rank,2,FALSE)</f>
        <v>96</v>
      </c>
      <c r="AF29" s="2">
        <f xml:space="preserve"> ((AE29 - $AE$64)/($AE$63 - $AE$64))*100</f>
        <v>89.622641509433961</v>
      </c>
      <c r="AG29" s="11">
        <f>VLOOKUP(B29,InterD_Rank,3,FALSE)</f>
        <v>1.2</v>
      </c>
      <c r="AH29" s="11">
        <f xml:space="preserve"> ((AG29 - $AG$64)/($AG$63 - $AG$64)) * 100</f>
        <v>6.8571428571428577</v>
      </c>
      <c r="AI29" s="11">
        <f>VLOOKUP(B29,InterD_Rank,4,FALSE)</f>
        <v>2</v>
      </c>
      <c r="AJ29" s="11">
        <f xml:space="preserve"> ((AI29 - $AI$64)/($AI$63 - $AI$64)) * 100</f>
        <v>3.3333333333333335</v>
      </c>
      <c r="AK29" s="2">
        <f xml:space="preserve"> 0.5 * N29 + 0.2 * T29 + 0.15 * Z29 + 0.15 * AF29</f>
        <v>62.860011794863127</v>
      </c>
      <c r="AL29" s="2">
        <f>0.5*((I29+K29+L29)/3) + 0.5 * ((0.6 *((P29 + R29)/2)) + (0.2 * ((T29 + V29)/2)) + (0.1 * ((AB29 + AD29)/2)) + (0.1 * ((AH29 + AJ29)/2)))</f>
        <v>43.485087935046529</v>
      </c>
      <c r="AM29" s="2">
        <f xml:space="preserve"> 0.2 * E29 + 0.4 * G29 + 0.4 * AK29</f>
        <v>79.022320166416606</v>
      </c>
    </row>
    <row r="30" spans="1:44" x14ac:dyDescent="0.25">
      <c r="A30" s="14">
        <f>A29+1</f>
        <v>6</v>
      </c>
      <c r="B30" s="2" t="s">
        <v>35</v>
      </c>
      <c r="C30" s="2">
        <f>RANK(AM30,$AM$3:$AM$60,1)</f>
        <v>1</v>
      </c>
      <c r="D30" s="2">
        <v>1</v>
      </c>
      <c r="E30" s="2">
        <f xml:space="preserve"> ((D30 - $D$64)/($D$63 - $D$64))*100</f>
        <v>0</v>
      </c>
      <c r="F30" s="2">
        <v>1</v>
      </c>
      <c r="G30" s="2">
        <f xml:space="preserve"> ((F30 - $F$64)/($F$63 - $F$64))*100</f>
        <v>0</v>
      </c>
      <c r="H30" s="2" t="b">
        <f>D30&lt;=F30</f>
        <v>1</v>
      </c>
      <c r="I30" s="44">
        <f>VLOOKUP(B30,Uni_TU_Lkp,6,FALSE)</f>
        <v>90.5</v>
      </c>
      <c r="J30" s="44">
        <f>VLOOKUP(B30,Uni_TU_Lkp,7,FALSE)</f>
        <v>98.7</v>
      </c>
      <c r="K30" s="44">
        <f>VLOOKUP(B30,Uni_TU_Lkp,8,FALSE)</f>
        <v>95.4</v>
      </c>
      <c r="L30" s="44">
        <f>VLOOKUP(B30,Uni_TU_Lkp,9,FALSE)</f>
        <v>94.6</v>
      </c>
      <c r="M30" s="11">
        <f>VLOOKUP(B30,AI_Rank,2,FALSE)</f>
        <v>12</v>
      </c>
      <c r="N30" s="2">
        <f xml:space="preserve"> ((M30 - $M$64)/($M$63 - $M$64))*100</f>
        <v>6.1111111111111107</v>
      </c>
      <c r="O30" s="11">
        <f>VLOOKUP(B30,AI_Rank,3,FALSE)</f>
        <v>12.7</v>
      </c>
      <c r="P30" s="11">
        <f xml:space="preserve"> ((O30 - $O$64)/($O$63 - $O$64)) * 100</f>
        <v>27.429805615550755</v>
      </c>
      <c r="Q30" s="11">
        <f>VLOOKUP(B30,AI_Rank,4,FALSE)</f>
        <v>43</v>
      </c>
      <c r="R30" s="11">
        <f xml:space="preserve"> ((Q30 - $Q$64)/($Q$63 - $Q$64)) * 100</f>
        <v>61.194029850746269</v>
      </c>
      <c r="S30" s="11">
        <f>VLOOKUP(B30,Theory_Rank,2,FALSE)</f>
        <v>2</v>
      </c>
      <c r="T30" s="2">
        <f xml:space="preserve"> ((S30 - $S$64)/($S$63 - $S$64))*100</f>
        <v>0.52356020942408377</v>
      </c>
      <c r="U30" s="11">
        <f>VLOOKUP(B30,Theory_Rank,3,FALSE)</f>
        <v>11.3</v>
      </c>
      <c r="V30" s="11">
        <f xml:space="preserve"> ((U30 - $U$64)/($U$63 - $U$64)) * 100</f>
        <v>88.28125</v>
      </c>
      <c r="W30" s="11">
        <f>VLOOKUP(B30,Theory_Rank,4,FALSE)</f>
        <v>21</v>
      </c>
      <c r="X30" s="11">
        <f xml:space="preserve"> ((W30 - $W$64)/($W$63 - $W$64)) * 100</f>
        <v>91.304347826086953</v>
      </c>
      <c r="Y30" s="11">
        <f>VLOOKUP(B30,Systems_Rank,2,FALSE)</f>
        <v>3</v>
      </c>
      <c r="Z30" s="2">
        <f xml:space="preserve"> ((Y30 - $Y$64)/($Y$63 - $Y$64))*100</f>
        <v>1.8018018018018018</v>
      </c>
      <c r="AA30" s="11">
        <f>VLOOKUP(B30,Systems_Rank,3,FALSE)</f>
        <v>6.2</v>
      </c>
      <c r="AB30" s="11">
        <f xml:space="preserve"> ((AA30 - $AA$64)/($AA$63 - $AA$64)) * 100</f>
        <v>87.323943661971839</v>
      </c>
      <c r="AC30" s="11">
        <f>VLOOKUP(B30,Systems_Rank,4,FALSE)</f>
        <v>40</v>
      </c>
      <c r="AD30" s="11">
        <f xml:space="preserve"> ((AC30 - $AC$64)/($AC$63 - $AC$64)) * 100</f>
        <v>64.516129032258064</v>
      </c>
      <c r="AE30" s="11">
        <f>VLOOKUP(B30,InterD_Rank,2,FALSE)</f>
        <v>6</v>
      </c>
      <c r="AF30" s="2">
        <f xml:space="preserve"> ((AE30 - $AE$64)/($AE$63 - $AE$64))*100</f>
        <v>4.716981132075472</v>
      </c>
      <c r="AG30" s="11">
        <f>VLOOKUP(B30,InterD_Rank,3,FALSE)</f>
        <v>9.8000000000000007</v>
      </c>
      <c r="AH30" s="11">
        <f xml:space="preserve"> ((AG30 - $AG$64)/($AG$63 - $AG$64)) * 100</f>
        <v>56.000000000000007</v>
      </c>
      <c r="AI30" s="11">
        <f>VLOOKUP(B30,InterD_Rank,4,FALSE)</f>
        <v>21</v>
      </c>
      <c r="AJ30" s="11">
        <f xml:space="preserve"> ((AI30 - $AI$64)/($AI$63 - $AI$64)) * 100</f>
        <v>35</v>
      </c>
      <c r="AK30" s="2">
        <f xml:space="preserve"> 0.5 * N30 + 0.2 * T30 + 0.15 * Z30 + 0.15 * AF30</f>
        <v>4.1380850375219627</v>
      </c>
      <c r="AL30" s="2">
        <f>0.5*((I30+K30+L30)/3) + 0.5 * ((0.6 *((P30 + R30)/2)) + (0.2 * ((T30 + V30)/2)) + (0.1 * ((AB30 + AD30)/2)) + (0.1 * ((AH30 + AJ30)/2)))</f>
        <v>70.5548176477715</v>
      </c>
      <c r="AM30" s="2">
        <f xml:space="preserve"> 0.2 * E30 + 0.4 * G30 + 0.4 * AK30</f>
        <v>1.6552340150087852</v>
      </c>
    </row>
    <row r="31" spans="1:44" x14ac:dyDescent="0.25">
      <c r="A31" s="14">
        <f>A30+1</f>
        <v>7</v>
      </c>
      <c r="B31" s="2" t="s">
        <v>36</v>
      </c>
      <c r="C31" s="2">
        <f>RANK(AM31,$AM$3:$AM$60,1)</f>
        <v>2</v>
      </c>
      <c r="D31" s="2">
        <v>2</v>
      </c>
      <c r="E31" s="2">
        <f xml:space="preserve"> ((D31 - $D$64)/($D$63 - $D$64))*100</f>
        <v>0.22271714922048996</v>
      </c>
      <c r="F31" s="2">
        <v>2</v>
      </c>
      <c r="G31" s="2">
        <f xml:space="preserve"> ((F31 - $F$64)/($F$63 - $F$64))*100</f>
        <v>0.28409090909090912</v>
      </c>
      <c r="H31" s="2" t="b">
        <f>D31&lt;=F31</f>
        <v>1</v>
      </c>
      <c r="I31" s="44">
        <f>VLOOKUP(B31,Uni_TU_Lkp,6,FALSE)</f>
        <v>87.8</v>
      </c>
      <c r="J31" s="44">
        <f>VLOOKUP(B31,Uni_TU_Lkp,7,FALSE)</f>
        <v>96</v>
      </c>
      <c r="K31" s="44">
        <f>VLOOKUP(B31,Uni_TU_Lkp,8,FALSE)</f>
        <v>100</v>
      </c>
      <c r="L31" s="44">
        <f>VLOOKUP(B31,Uni_TU_Lkp,9,FALSE)</f>
        <v>100</v>
      </c>
      <c r="M31" s="11">
        <f>VLOOKUP(B31,AI_Rank,2,FALSE)</f>
        <v>5</v>
      </c>
      <c r="N31" s="2">
        <f xml:space="preserve"> ((M31 - $M$64)/($M$63 - $M$64))*100</f>
        <v>2.2222222222222223</v>
      </c>
      <c r="O31" s="11">
        <f>VLOOKUP(B31,AI_Rank,3,FALSE)</f>
        <v>21.3</v>
      </c>
      <c r="P31" s="11">
        <f xml:space="preserve"> ((O31 - $O$64)/($O$63 - $O$64)) * 100</f>
        <v>46.004319654427647</v>
      </c>
      <c r="Q31" s="11">
        <f>VLOOKUP(B31,AI_Rank,4,FALSE)</f>
        <v>34</v>
      </c>
      <c r="R31" s="11">
        <f xml:space="preserve"> ((Q31 - $Q$64)/($Q$63 - $Q$64)) * 100</f>
        <v>47.761194029850742</v>
      </c>
      <c r="S31" s="11">
        <f>VLOOKUP(B31,Theory_Rank,2,FALSE)</f>
        <v>14</v>
      </c>
      <c r="T31" s="2">
        <f xml:space="preserve"> ((S31 - $S$64)/($S$63 - $S$64))*100</f>
        <v>6.8062827225130889</v>
      </c>
      <c r="U31" s="11">
        <f>VLOOKUP(B31,Theory_Rank,3,FALSE)</f>
        <v>6.7</v>
      </c>
      <c r="V31" s="11">
        <f xml:space="preserve"> ((U31 - $U$64)/($U$63 - $U$64)) * 100</f>
        <v>52.34375</v>
      </c>
      <c r="W31" s="11">
        <f>VLOOKUP(B31,Theory_Rank,4,FALSE)</f>
        <v>15</v>
      </c>
      <c r="X31" s="11">
        <f xml:space="preserve"> ((W31 - $W$64)/($W$63 - $W$64)) * 100</f>
        <v>65.217391304347828</v>
      </c>
      <c r="Y31" s="11">
        <f>VLOOKUP(B31,Systems_Rank,2,FALSE)</f>
        <v>7</v>
      </c>
      <c r="Z31" s="2">
        <f xml:space="preserve"> ((Y31 - $Y$64)/($Y$63 - $Y$64))*100</f>
        <v>5.4054054054054053</v>
      </c>
      <c r="AA31" s="11">
        <f>VLOOKUP(B31,Systems_Rank,3,FALSE)</f>
        <v>4.3</v>
      </c>
      <c r="AB31" s="11">
        <f xml:space="preserve"> ((AA31 - $AA$64)/($AA$63 - $AA$64)) * 100</f>
        <v>60.563380281690137</v>
      </c>
      <c r="AC31" s="11">
        <f>VLOOKUP(B31,Systems_Rank,4,FALSE)</f>
        <v>29</v>
      </c>
      <c r="AD31" s="11">
        <f xml:space="preserve"> ((AC31 - $AC$64)/($AC$63 - $AC$64)) * 100</f>
        <v>46.774193548387096</v>
      </c>
      <c r="AE31" s="11">
        <f>VLOOKUP(B31,InterD_Rank,2,FALSE)</f>
        <v>7</v>
      </c>
      <c r="AF31" s="2">
        <f xml:space="preserve"> ((AE31 - $AE$64)/($AE$63 - $AE$64))*100</f>
        <v>5.6603773584905666</v>
      </c>
      <c r="AG31" s="11">
        <f>VLOOKUP(B31,InterD_Rank,3,FALSE)</f>
        <v>8.4</v>
      </c>
      <c r="AH31" s="11">
        <f xml:space="preserve"> ((AG31 - $AG$64)/($AG$63 - $AG$64)) * 100</f>
        <v>48.000000000000007</v>
      </c>
      <c r="AI31" s="11">
        <f>VLOOKUP(B31,InterD_Rank,4,FALSE)</f>
        <v>16</v>
      </c>
      <c r="AJ31" s="11">
        <f xml:space="preserve"> ((AI31 - $AI$64)/($AI$63 - $AI$64)) * 100</f>
        <v>26.666666666666668</v>
      </c>
      <c r="AK31" s="2">
        <f xml:space="preserve"> 0.5 * N31 + 0.2 * T31 + 0.15 * Z31 + 0.15 * AF31</f>
        <v>4.1322350701981243</v>
      </c>
      <c r="AL31" s="2">
        <f>0.5*((I31+K31+L31)/3) + 0.5 * ((0.6 *((P31 + R31)/2)) + (0.2 * ((T31 + V31)/2)) + (0.1 * ((AB31 + AD31)/2)) + (0.1 * ((AH31 + AJ31)/2)))</f>
        <v>69.53910136785268</v>
      </c>
      <c r="AM31" s="2">
        <f xml:space="preserve"> 0.2 * E31 + 0.4 * G31 + 0.4 * AK31</f>
        <v>1.8110738215597115</v>
      </c>
    </row>
    <row r="32" spans="1:44" x14ac:dyDescent="0.25">
      <c r="A32" s="14">
        <f>A31+1</f>
        <v>8</v>
      </c>
      <c r="B32" s="2" t="s">
        <v>120</v>
      </c>
      <c r="C32" s="2">
        <f>RANK(AM32,$AM$3:$AM$60,1)</f>
        <v>5</v>
      </c>
      <c r="D32" s="2">
        <v>14</v>
      </c>
      <c r="E32" s="2">
        <f xml:space="preserve"> ((D32 - $D$64)/($D$63 - $D$64))*100</f>
        <v>2.8953229398663698</v>
      </c>
      <c r="F32" s="2">
        <v>25</v>
      </c>
      <c r="G32" s="2">
        <f xml:space="preserve"> ((F32 - $F$64)/($F$63 - $F$64))*100</f>
        <v>6.8181818181818175</v>
      </c>
      <c r="H32" s="2" t="b">
        <f>D32&lt;=F32</f>
        <v>1</v>
      </c>
      <c r="I32" s="44">
        <f>VLOOKUP(B32,Uni_TU_Lkp,6,FALSE)</f>
        <v>76.5</v>
      </c>
      <c r="J32" s="44">
        <f>VLOOKUP(B32,Uni_TU_Lkp,7,FALSE)</f>
        <v>76.900000000000006</v>
      </c>
      <c r="K32" s="44">
        <f>VLOOKUP(B32,Uni_TU_Lkp,8,FALSE)</f>
        <v>85.3</v>
      </c>
      <c r="L32" s="44">
        <f>VLOOKUP(B32,Uni_TU_Lkp,9,FALSE)</f>
        <v>96.4</v>
      </c>
      <c r="M32" s="11">
        <f>VLOOKUP(B32,AI_Rank,2,FALSE)</f>
        <v>4</v>
      </c>
      <c r="N32" s="2">
        <f xml:space="preserve"> ((M32 - $M$64)/($M$63 - $M$64))*100</f>
        <v>1.6666666666666667</v>
      </c>
      <c r="O32" s="11">
        <f>VLOOKUP(B32,AI_Rank,3,FALSE)</f>
        <v>22.3</v>
      </c>
      <c r="P32" s="11">
        <f xml:space="preserve"> ((O32 - $O$64)/($O$63 - $O$64)) * 100</f>
        <v>48.164146868250548</v>
      </c>
      <c r="Q32" s="11">
        <f>VLOOKUP(B32,AI_Rank,4,FALSE)</f>
        <v>40</v>
      </c>
      <c r="R32" s="11">
        <f xml:space="preserve"> ((Q32 - $Q$64)/($Q$63 - $Q$64)) * 100</f>
        <v>56.71641791044776</v>
      </c>
      <c r="S32" s="11">
        <f>VLOOKUP(B32,Theory_Rank,2,FALSE)</f>
        <v>6</v>
      </c>
      <c r="T32" s="2">
        <f xml:space="preserve"> ((S32 - $S$64)/($S$63 - $S$64))*100</f>
        <v>2.6178010471204187</v>
      </c>
      <c r="U32" s="11">
        <f>VLOOKUP(B32,Theory_Rank,3,FALSE)</f>
        <v>9.1</v>
      </c>
      <c r="V32" s="11">
        <f xml:space="preserve"> ((U32 - $U$64)/($U$63 - $U$64)) * 100</f>
        <v>71.093749999999986</v>
      </c>
      <c r="W32" s="11">
        <f>VLOOKUP(B32,Theory_Rank,4,FALSE)</f>
        <v>14</v>
      </c>
      <c r="X32" s="11">
        <f xml:space="preserve"> ((W32 - $W$64)/($W$63 - $W$64)) * 100</f>
        <v>60.869565217391312</v>
      </c>
      <c r="Y32" s="11">
        <f>VLOOKUP(B32,Systems_Rank,2,FALSE)</f>
        <v>10</v>
      </c>
      <c r="Z32" s="2">
        <f xml:space="preserve"> ((Y32 - $Y$64)/($Y$63 - $Y$64))*100</f>
        <v>8.1081081081081088</v>
      </c>
      <c r="AA32" s="11">
        <f>VLOOKUP(B32,Systems_Rank,3,FALSE)</f>
        <v>3.8</v>
      </c>
      <c r="AB32" s="11">
        <f xml:space="preserve"> ((AA32 - $AA$64)/($AA$63 - $AA$64)) * 100</f>
        <v>53.521126760563376</v>
      </c>
      <c r="AC32" s="11">
        <f>VLOOKUP(B32,Systems_Rank,4,FALSE)</f>
        <v>30</v>
      </c>
      <c r="AD32" s="11">
        <f xml:space="preserve"> ((AC32 - $AC$64)/($AC$63 - $AC$64)) * 100</f>
        <v>48.387096774193552</v>
      </c>
      <c r="AE32" s="11">
        <f>VLOOKUP(B32,InterD_Rank,2,FALSE)</f>
        <v>12</v>
      </c>
      <c r="AF32" s="2">
        <f xml:space="preserve"> ((AE32 - $AE$64)/($AE$63 - $AE$64))*100</f>
        <v>10.377358490566039</v>
      </c>
      <c r="AG32" s="11">
        <f>VLOOKUP(B32,InterD_Rank,3,FALSE)</f>
        <v>7.4</v>
      </c>
      <c r="AH32" s="11">
        <f xml:space="preserve"> ((AG32 - $AG$64)/($AG$63 - $AG$64)) * 100</f>
        <v>42.285714285714285</v>
      </c>
      <c r="AI32" s="11">
        <f>VLOOKUP(B32,InterD_Rank,4,FALSE)</f>
        <v>20</v>
      </c>
      <c r="AJ32" s="11">
        <f xml:space="preserve"> ((AI32 - $AI$64)/($AI$63 - $AI$64)) * 100</f>
        <v>33.333333333333329</v>
      </c>
      <c r="AK32" s="2">
        <f xml:space="preserve"> 0.5 * N32 + 0.2 * T32 + 0.15 * Z32 + 0.15 * AF32</f>
        <v>4.1297135325585392</v>
      </c>
      <c r="AL32" s="2">
        <f>0.5*((I32+K32+L32)/3) + 0.5 * ((0.6 *((P32 + R32)/2)) + (0.2 * ((T32 + V32)/2)) + (0.1 * ((AB32 + AD32)/2)) + (0.1 * ((AH32 + AJ32)/2)))</f>
        <v>66.889177381339209</v>
      </c>
      <c r="AM32" s="2">
        <f xml:space="preserve"> 0.2 * E32 + 0.4 * G32 + 0.4 * AK32</f>
        <v>4.9582227282694165</v>
      </c>
    </row>
    <row r="33" spans="1:39" x14ac:dyDescent="0.25">
      <c r="A33" s="14">
        <f>A32+1</f>
        <v>9</v>
      </c>
      <c r="B33" s="2" t="s">
        <v>124</v>
      </c>
      <c r="C33" s="2">
        <f>RANK(AM33,$AM$3:$AM$60,1)</f>
        <v>6</v>
      </c>
      <c r="D33" s="2">
        <v>20</v>
      </c>
      <c r="E33" s="2">
        <f xml:space="preserve"> ((D33 - $D$64)/($D$63 - $D$64))*100</f>
        <v>4.231625835189309</v>
      </c>
      <c r="F33" s="2">
        <v>45</v>
      </c>
      <c r="G33" s="2">
        <f xml:space="preserve"> ((F33 - $F$64)/($F$63 - $F$64))*100</f>
        <v>12.5</v>
      </c>
      <c r="H33" s="2" t="b">
        <f>D33&lt;=F33</f>
        <v>1</v>
      </c>
      <c r="I33" s="44">
        <f>VLOOKUP(B33,Uni_TU_Lkp,6,FALSE)</f>
        <v>63.4</v>
      </c>
      <c r="J33" s="44">
        <f>VLOOKUP(B33,Uni_TU_Lkp,7,FALSE)</f>
        <v>80</v>
      </c>
      <c r="K33" s="44">
        <f>VLOOKUP(B33,Uni_TU_Lkp,8,FALSE)</f>
        <v>86.8</v>
      </c>
      <c r="L33" s="44">
        <f>VLOOKUP(B33,Uni_TU_Lkp,9,FALSE)</f>
        <v>91.7</v>
      </c>
      <c r="M33" s="11">
        <f>VLOOKUP(B33,AI_Rank,2,FALSE)</f>
        <v>9</v>
      </c>
      <c r="N33" s="2">
        <f xml:space="preserve"> ((M33 - $M$64)/($M$63 - $M$64))*100</f>
        <v>4.4444444444444446</v>
      </c>
      <c r="O33" s="11">
        <f>VLOOKUP(B33,AI_Rank,3,FALSE)</f>
        <v>14</v>
      </c>
      <c r="P33" s="11">
        <f xml:space="preserve"> ((O33 - $O$64)/($O$63 - $O$64)) * 100</f>
        <v>30.237580993520517</v>
      </c>
      <c r="Q33" s="11">
        <f>VLOOKUP(B33,AI_Rank,4,FALSE)</f>
        <v>30</v>
      </c>
      <c r="R33" s="11">
        <f xml:space="preserve"> ((Q33 - $Q$64)/($Q$63 - $Q$64)) * 100</f>
        <v>41.791044776119399</v>
      </c>
      <c r="S33" s="11">
        <f>VLOOKUP(B33,Theory_Rank,2,FALSE)</f>
        <v>28</v>
      </c>
      <c r="T33" s="2">
        <f xml:space="preserve"> ((S33 - $S$64)/($S$63 - $S$64))*100</f>
        <v>14.136125654450263</v>
      </c>
      <c r="U33" s="11">
        <f>VLOOKUP(B33,Theory_Rank,3,FALSE)</f>
        <v>4.3</v>
      </c>
      <c r="V33" s="11">
        <f xml:space="preserve"> ((U33 - $U$64)/($U$63 - $U$64)) * 100</f>
        <v>33.593749999999993</v>
      </c>
      <c r="W33" s="11">
        <f>VLOOKUP(B33,Theory_Rank,4,FALSE)</f>
        <v>7</v>
      </c>
      <c r="X33" s="11">
        <f xml:space="preserve"> ((W33 - $W$64)/($W$63 - $W$64)) * 100</f>
        <v>30.434782608695656</v>
      </c>
      <c r="Y33" s="11">
        <f>VLOOKUP(B33,Systems_Rank,2,FALSE)</f>
        <v>2</v>
      </c>
      <c r="Z33" s="2">
        <f xml:space="preserve"> ((Y33 - $Y$64)/($Y$63 - $Y$64))*100</f>
        <v>0.90090090090090091</v>
      </c>
      <c r="AA33" s="11">
        <f>VLOOKUP(B33,Systems_Rank,3,FALSE)</f>
        <v>6.5</v>
      </c>
      <c r="AB33" s="11">
        <f xml:space="preserve"> ((AA33 - $AA$64)/($AA$63 - $AA$64)) * 100</f>
        <v>91.549295774647888</v>
      </c>
      <c r="AC33" s="11">
        <f>VLOOKUP(B33,Systems_Rank,4,FALSE)</f>
        <v>38</v>
      </c>
      <c r="AD33" s="11">
        <f xml:space="preserve"> ((AC33 - $AC$64)/($AC$63 - $AC$64)) * 100</f>
        <v>61.29032258064516</v>
      </c>
      <c r="AE33" s="11">
        <f>VLOOKUP(B33,InterD_Rank,2,FALSE)</f>
        <v>4</v>
      </c>
      <c r="AF33" s="2">
        <f xml:space="preserve"> ((AE33 - $AE$64)/($AE$63 - $AE$64))*100</f>
        <v>2.8301886792452833</v>
      </c>
      <c r="AG33" s="11">
        <f>VLOOKUP(B33,InterD_Rank,3,FALSE)</f>
        <v>11.2</v>
      </c>
      <c r="AH33" s="11">
        <f xml:space="preserve"> ((AG33 - $AG$64)/($AG$63 - $AG$64)) * 100</f>
        <v>64</v>
      </c>
      <c r="AI33" s="11">
        <f>VLOOKUP(B33,InterD_Rank,4,FALSE)</f>
        <v>21</v>
      </c>
      <c r="AJ33" s="11">
        <f xml:space="preserve"> ((AI33 - $AI$64)/($AI$63 - $AI$64)) * 100</f>
        <v>35</v>
      </c>
      <c r="AK33" s="2">
        <f xml:space="preserve"> 0.5 * N33 + 0.2 * T33 + 0.15 * Z33 + 0.15 * AF33</f>
        <v>5.6091107901342028</v>
      </c>
      <c r="AL33" s="2">
        <f>0.5*((I33+K33+L33)/3) + 0.5 * ((0.6 *((P33 + R33)/2)) + (0.2 * ((T33 + V33)/2)) + (0.1 * ((AB33 + AD33)/2)) + (0.1 * ((AH33 + AJ33)/2)))</f>
        <v>59.803444773717487</v>
      </c>
      <c r="AM33" s="2">
        <f xml:space="preserve"> 0.2 * E33 + 0.4 * G33 + 0.4 * AK33</f>
        <v>8.0899694830915436</v>
      </c>
    </row>
    <row r="34" spans="1:39" x14ac:dyDescent="0.25">
      <c r="A34" s="14">
        <v>6</v>
      </c>
      <c r="B34" s="2" t="s">
        <v>17</v>
      </c>
      <c r="C34" s="2">
        <f>RANK(AM34,$AM$3:$AM$60,1)</f>
        <v>8</v>
      </c>
      <c r="D34" s="2">
        <v>3</v>
      </c>
      <c r="E34" s="2">
        <f xml:space="preserve"> ((D34 - $D$64)/($D$63 - $D$64))*100</f>
        <v>0.44543429844097993</v>
      </c>
      <c r="F34" s="2">
        <v>6</v>
      </c>
      <c r="G34" s="2">
        <f xml:space="preserve"> ((F34 - $F$64)/($F$63 - $F$64))*100</f>
        <v>1.4204545454545454</v>
      </c>
      <c r="H34" s="2" t="b">
        <f>D34&lt;=F34</f>
        <v>1</v>
      </c>
      <c r="I34" s="44">
        <f>VLOOKUP(B34,Uni_TU_Lkp,6,FALSE)</f>
        <v>80.400000000000006</v>
      </c>
      <c r="J34" s="44">
        <f>VLOOKUP(B34,Uni_TU_Lkp,7,FALSE)</f>
        <v>100</v>
      </c>
      <c r="K34" s="44">
        <f>VLOOKUP(B34,Uni_TU_Lkp,8,FALSE)</f>
        <v>80.599999999999994</v>
      </c>
      <c r="L34" s="44">
        <f>VLOOKUP(B34,Uni_TU_Lkp,9,FALSE)</f>
        <v>93.6</v>
      </c>
      <c r="M34" s="11">
        <f>VLOOKUP(B34,AI_Rank,2,FALSE)</f>
        <v>36</v>
      </c>
      <c r="N34" s="2">
        <f xml:space="preserve"> ((M34 - $M$64)/($M$63 - $M$64))*100</f>
        <v>19.444444444444446</v>
      </c>
      <c r="O34" s="11">
        <f>VLOOKUP(B34,AI_Rank,3,FALSE)</f>
        <v>7.1</v>
      </c>
      <c r="P34" s="11">
        <f xml:space="preserve"> ((O34 - $O$64)/($O$63 - $O$64)) * 100</f>
        <v>15.33477321814255</v>
      </c>
      <c r="Q34" s="11">
        <f>VLOOKUP(B34,AI_Rank,4,FALSE)</f>
        <v>14</v>
      </c>
      <c r="R34" s="11">
        <f xml:space="preserve"> ((Q34 - $Q$64)/($Q$63 - $Q$64)) * 100</f>
        <v>17.910447761194028</v>
      </c>
      <c r="S34" s="11">
        <f>VLOOKUP(B34,Theory_Rank,2,FALSE)</f>
        <v>40</v>
      </c>
      <c r="T34" s="2">
        <f xml:space="preserve"> ((S34 - $S$64)/($S$63 - $S$64))*100</f>
        <v>20.418848167539267</v>
      </c>
      <c r="U34" s="11">
        <f>VLOOKUP(B34,Theory_Rank,3,FALSE)</f>
        <v>3.4</v>
      </c>
      <c r="V34" s="11">
        <f xml:space="preserve"> ((U34 - $U$64)/($U$63 - $U$64)) * 100</f>
        <v>26.5625</v>
      </c>
      <c r="W34" s="11">
        <f>VLOOKUP(B34,Theory_Rank,4,FALSE)</f>
        <v>8</v>
      </c>
      <c r="X34" s="11">
        <f xml:space="preserve"> ((W34 - $W$64)/($W$63 - $W$64)) * 100</f>
        <v>34.782608695652172</v>
      </c>
      <c r="Y34" s="11">
        <f>VLOOKUP(B34,Systems_Rank,2,FALSE)</f>
        <v>39</v>
      </c>
      <c r="Z34" s="2">
        <f xml:space="preserve"> ((Y34 - $Y$64)/($Y$63 - $Y$64))*100</f>
        <v>34.234234234234236</v>
      </c>
      <c r="AA34" s="11">
        <f>VLOOKUP(B34,Systems_Rank,3,FALSE)</f>
        <v>1.8</v>
      </c>
      <c r="AB34" s="11">
        <f xml:space="preserve"> ((AA34 - $AA$64)/($AA$63 - $AA$64)) * 100</f>
        <v>25.352112676056336</v>
      </c>
      <c r="AC34" s="11">
        <f>VLOOKUP(B34,Systems_Rank,4,FALSE)</f>
        <v>8</v>
      </c>
      <c r="AD34" s="11">
        <f xml:space="preserve"> ((AC34 - $AC$64)/($AC$63 - $AC$64)) * 100</f>
        <v>12.903225806451612</v>
      </c>
      <c r="AE34" s="11">
        <f>VLOOKUP(B34,InterD_Rank,2,FALSE)</f>
        <v>15</v>
      </c>
      <c r="AF34" s="2">
        <f xml:space="preserve"> ((AE34 - $AE$64)/($AE$63 - $AE$64))*100</f>
        <v>13.20754716981132</v>
      </c>
      <c r="AG34" s="11">
        <f>VLOOKUP(B34,InterD_Rank,3,FALSE)</f>
        <v>5.8</v>
      </c>
      <c r="AH34" s="11">
        <f xml:space="preserve"> ((AG34 - $AG$64)/($AG$63 - $AG$64)) * 100</f>
        <v>33.142857142857139</v>
      </c>
      <c r="AI34" s="11">
        <f>VLOOKUP(B34,InterD_Rank,4,FALSE)</f>
        <v>9</v>
      </c>
      <c r="AJ34" s="11">
        <f xml:space="preserve"> ((AI34 - $AI$64)/($AI$63 - $AI$64)) * 100</f>
        <v>15</v>
      </c>
      <c r="AK34" s="2">
        <f xml:space="preserve"> 0.5 * N34 + 0.2 * T34 + 0.15 * Z34 + 0.15 * AF34</f>
        <v>20.922259066336913</v>
      </c>
      <c r="AL34" s="2">
        <f>0.5*((I34+K34+L34)/3) + 0.5 * ((0.6 *((P34 + R34)/2)) + (0.2 * ((T34 + V34)/2)) + (0.1 * ((AB34 + AD34)/2)) + (0.1 * ((AH34 + AJ34)/2)))</f>
        <v>51.929138779244909</v>
      </c>
      <c r="AM34" s="2">
        <f xml:space="preserve"> 0.2 * E34 + 0.4 * G34 + 0.4 * AK34</f>
        <v>9.0261723044047795</v>
      </c>
    </row>
    <row r="35" spans="1:39" x14ac:dyDescent="0.25">
      <c r="A35" s="14">
        <v>3</v>
      </c>
      <c r="B35" s="2" t="s">
        <v>419</v>
      </c>
      <c r="C35" s="2">
        <f>RANK(AM35,$AM$3:$AM$60,1)</f>
        <v>9</v>
      </c>
      <c r="D35" s="2">
        <v>16</v>
      </c>
      <c r="E35" s="2">
        <f xml:space="preserve"> ((D35 - $D$64)/($D$63 - $D$64))*100</f>
        <v>3.3407572383073498</v>
      </c>
      <c r="F35" s="2">
        <v>24</v>
      </c>
      <c r="G35" s="2">
        <f xml:space="preserve"> ((F35 - $F$64)/($F$63 - $F$64))*100</f>
        <v>6.5340909090909092</v>
      </c>
      <c r="H35" s="2" t="b">
        <f>D35&lt;=F35</f>
        <v>1</v>
      </c>
      <c r="I35" s="44">
        <f>VLOOKUP(B35,Uni_TU_Lkp,6,FALSE)</f>
        <v>75.599999999999994</v>
      </c>
      <c r="J35" s="44">
        <f>VLOOKUP(B35,Uni_TU_Lkp,7,FALSE)</f>
        <v>81</v>
      </c>
      <c r="K35" s="44">
        <f>VLOOKUP(B35,Uni_TU_Lkp,8,FALSE)</f>
        <v>83.1</v>
      </c>
      <c r="L35" s="44">
        <f>VLOOKUP(B35,Uni_TU_Lkp,9,FALSE)</f>
        <v>93.5</v>
      </c>
      <c r="M35" s="11">
        <f>VLOOKUP(B35,AI_Rank,2,FALSE)</f>
        <v>25</v>
      </c>
      <c r="N35" s="2">
        <f xml:space="preserve"> ((M35 - $M$64)/($M$63 - $M$64))*100</f>
        <v>13.333333333333334</v>
      </c>
      <c r="O35" s="11">
        <f>VLOOKUP(B35,AI_Rank,3,FALSE)</f>
        <v>9.1</v>
      </c>
      <c r="P35" s="11">
        <f xml:space="preserve"> ((O35 - $O$64)/($O$63 - $O$64)) * 100</f>
        <v>19.654427645788335</v>
      </c>
      <c r="Q35" s="11">
        <f>VLOOKUP(B35,AI_Rank,4,FALSE)</f>
        <v>18</v>
      </c>
      <c r="R35" s="11">
        <f xml:space="preserve"> ((Q35 - $Q$64)/($Q$63 - $Q$64)) * 100</f>
        <v>23.880597014925371</v>
      </c>
      <c r="S35" s="11">
        <f>VLOOKUP(B35,Theory_Rank,2,FALSE)</f>
        <v>18</v>
      </c>
      <c r="T35" s="2">
        <f xml:space="preserve"> ((S35 - $S$64)/($S$63 - $S$64))*100</f>
        <v>8.9005235602094235</v>
      </c>
      <c r="U35" s="11">
        <f>VLOOKUP(B35,Theory_Rank,3,FALSE)</f>
        <v>6</v>
      </c>
      <c r="V35" s="11">
        <f xml:space="preserve"> ((U35 - $U$64)/($U$63 - $U$64)) * 100</f>
        <v>46.875</v>
      </c>
      <c r="W35" s="11">
        <f>VLOOKUP(B35,Theory_Rank,4,FALSE)</f>
        <v>10</v>
      </c>
      <c r="X35" s="11">
        <f xml:space="preserve"> ((W35 - $W$64)/($W$63 - $W$64)) * 100</f>
        <v>43.478260869565219</v>
      </c>
      <c r="Y35" s="11">
        <f>VLOOKUP(B35,Systems_Rank,2,FALSE)</f>
        <v>17</v>
      </c>
      <c r="Z35" s="2">
        <f xml:space="preserve"> ((Y35 - $Y$64)/($Y$63 - $Y$64))*100</f>
        <v>14.414414414414415</v>
      </c>
      <c r="AA35" s="11">
        <f>VLOOKUP(B35,Systems_Rank,3,FALSE)</f>
        <v>3</v>
      </c>
      <c r="AB35" s="11">
        <f xml:space="preserve"> ((AA35 - $AA$64)/($AA$63 - $AA$64)) * 100</f>
        <v>42.253521126760567</v>
      </c>
      <c r="AC35" s="11">
        <f>VLOOKUP(B35,Systems_Rank,4,FALSE)</f>
        <v>23</v>
      </c>
      <c r="AD35" s="11">
        <f xml:space="preserve"> ((AC35 - $AC$64)/($AC$63 - $AC$64)) * 100</f>
        <v>37.096774193548384</v>
      </c>
      <c r="AE35" s="11">
        <f>VLOOKUP(B35,InterD_Rank,2,FALSE)</f>
        <v>29</v>
      </c>
      <c r="AF35" s="2">
        <f xml:space="preserve"> ((AE35 - $AE$64)/($AE$63 - $AE$64))*100</f>
        <v>26.415094339622641</v>
      </c>
      <c r="AG35" s="11">
        <f>VLOOKUP(B35,InterD_Rank,3,FALSE)</f>
        <v>3.4</v>
      </c>
      <c r="AH35" s="11">
        <f xml:space="preserve"> ((AG35 - $AG$64)/($AG$63 - $AG$64)) * 100</f>
        <v>19.428571428571427</v>
      </c>
      <c r="AI35" s="11">
        <f>VLOOKUP(B35,InterD_Rank,4,FALSE)</f>
        <v>8</v>
      </c>
      <c r="AJ35" s="11">
        <f xml:space="preserve"> ((AI35 - $AI$64)/($AI$63 - $AI$64)) * 100</f>
        <v>13.333333333333334</v>
      </c>
      <c r="AK35" s="2">
        <f xml:space="preserve"> 0.5 * N35 + 0.2 * T35 + 0.15 * Z35 + 0.15 * AF35</f>
        <v>14.571197691814108</v>
      </c>
      <c r="AL35" s="2">
        <f>0.5*((I35+K35+L35)/3) + 0.5 * ((0.6 *((P35 + R35)/2)) + (0.2 * ((T35 + V35)/2)) + (0.1 * ((AB35 + AD35)/2)) + (0.1 * ((AH35 + AJ35)/2)))</f>
        <v>54.155168212506197</v>
      </c>
      <c r="AM35" s="2">
        <f xml:space="preserve"> 0.2 * E35 + 0.4 * G35 + 0.4 * AK35</f>
        <v>9.1102668880234781</v>
      </c>
    </row>
    <row r="36" spans="1:39" x14ac:dyDescent="0.25">
      <c r="A36" s="14">
        <f>A35+1</f>
        <v>4</v>
      </c>
      <c r="B36" s="2" t="s">
        <v>80</v>
      </c>
      <c r="C36" s="2">
        <f>RANK(AM36,$AM$3:$AM$60,1)</f>
        <v>13</v>
      </c>
      <c r="D36" s="2">
        <v>19</v>
      </c>
      <c r="E36" s="2">
        <f xml:space="preserve"> ((D36 - $D$64)/($D$63 - $D$64))*100</f>
        <v>4.0089086859688194</v>
      </c>
      <c r="F36" s="2">
        <v>37</v>
      </c>
      <c r="G36" s="2">
        <f xml:space="preserve"> ((F36 - $F$64)/($F$63 - $F$64))*100</f>
        <v>10.227272727272728</v>
      </c>
      <c r="H36" s="2" t="b">
        <f>D36&lt;=F36</f>
        <v>1</v>
      </c>
      <c r="I36" s="44">
        <f>VLOOKUP(B36,Uni_TU_Lkp,6,FALSE)</f>
        <v>72.599999999999994</v>
      </c>
      <c r="J36" s="44">
        <f>VLOOKUP(B36,Uni_TU_Lkp,7,FALSE)</f>
        <v>79</v>
      </c>
      <c r="K36" s="44">
        <f>VLOOKUP(B36,Uni_TU_Lkp,8,FALSE)</f>
        <v>79.400000000000006</v>
      </c>
      <c r="L36" s="44">
        <f>VLOOKUP(B36,Uni_TU_Lkp,9,FALSE)</f>
        <v>92.8</v>
      </c>
      <c r="M36" s="11">
        <f>VLOOKUP(B36,AI_Rank,2,FALSE)</f>
        <v>21</v>
      </c>
      <c r="N36" s="2">
        <f xml:space="preserve"> ((M36 - $M$64)/($M$63 - $M$64))*100</f>
        <v>11.111111111111111</v>
      </c>
      <c r="O36" s="11">
        <f>VLOOKUP(B36,AI_Rank,3,FALSE)</f>
        <v>10.6</v>
      </c>
      <c r="P36" s="11">
        <f xml:space="preserve"> ((O36 - $O$64)/($O$63 - $O$64)) * 100</f>
        <v>22.894168466522679</v>
      </c>
      <c r="Q36" s="11">
        <f>VLOOKUP(B36,AI_Rank,4,FALSE)</f>
        <v>22</v>
      </c>
      <c r="R36" s="11">
        <f xml:space="preserve"> ((Q36 - $Q$64)/($Q$63 - $Q$64)) * 100</f>
        <v>29.850746268656714</v>
      </c>
      <c r="S36" s="11">
        <f>VLOOKUP(B36,Theory_Rank,2,FALSE)</f>
        <v>28</v>
      </c>
      <c r="T36" s="2">
        <f xml:space="preserve"> ((S36 - $S$64)/($S$63 - $S$64))*100</f>
        <v>14.136125654450263</v>
      </c>
      <c r="U36" s="11">
        <f>VLOOKUP(B36,Theory_Rank,3,FALSE)</f>
        <v>4.3</v>
      </c>
      <c r="V36" s="11">
        <f xml:space="preserve"> ((U36 - $U$64)/($U$63 - $U$64)) * 100</f>
        <v>33.593749999999993</v>
      </c>
      <c r="W36" s="11">
        <f>VLOOKUP(B36,Theory_Rank,4,FALSE)</f>
        <v>13</v>
      </c>
      <c r="X36" s="11">
        <f xml:space="preserve"> ((W36 - $W$64)/($W$63 - $W$64)) * 100</f>
        <v>56.521739130434781</v>
      </c>
      <c r="Y36" s="11">
        <f>VLOOKUP(B36,Systems_Rank,2,FALSE)</f>
        <v>22</v>
      </c>
      <c r="Z36" s="2">
        <f xml:space="preserve"> ((Y36 - $Y$64)/($Y$63 - $Y$64))*100</f>
        <v>18.918918918918919</v>
      </c>
      <c r="AA36" s="11">
        <f>VLOOKUP(B36,Systems_Rank,3,FALSE)</f>
        <v>2.7</v>
      </c>
      <c r="AB36" s="11">
        <f xml:space="preserve"> ((AA36 - $AA$64)/($AA$63 - $AA$64)) * 100</f>
        <v>38.028169014084511</v>
      </c>
      <c r="AC36" s="11">
        <f>VLOOKUP(B36,Systems_Rank,4,FALSE)</f>
        <v>24</v>
      </c>
      <c r="AD36" s="11">
        <f xml:space="preserve"> ((AC36 - $AC$64)/($AC$63 - $AC$64)) * 100</f>
        <v>38.70967741935484</v>
      </c>
      <c r="AE36" s="11">
        <f>VLOOKUP(B36,InterD_Rank,2,FALSE)</f>
        <v>27</v>
      </c>
      <c r="AF36" s="2">
        <f xml:space="preserve"> ((AE36 - $AE$64)/($AE$63 - $AE$64))*100</f>
        <v>24.528301886792452</v>
      </c>
      <c r="AG36" s="11">
        <f>VLOOKUP(B36,InterD_Rank,3,FALSE)</f>
        <v>3.6</v>
      </c>
      <c r="AH36" s="11">
        <f xml:space="preserve"> ((AG36 - $AG$64)/($AG$63 - $AG$64)) * 100</f>
        <v>20.571428571428569</v>
      </c>
      <c r="AI36" s="11">
        <f>VLOOKUP(B36,InterD_Rank,4,FALSE)</f>
        <v>12</v>
      </c>
      <c r="AJ36" s="11">
        <f xml:space="preserve"> ((AI36 - $AI$64)/($AI$63 - $AI$64)) * 100</f>
        <v>20</v>
      </c>
      <c r="AK36" s="2">
        <f xml:space="preserve"> 0.5 * N36 + 0.2 * T36 + 0.15 * Z36 + 0.15 * AF36</f>
        <v>14.899863807302314</v>
      </c>
      <c r="AL36" s="2">
        <f>0.5*((I36+K36+L36)/3) + 0.5 * ((0.6 *((P36 + R36)/2)) + (0.2 * ((T36 + V36)/2)) + (0.1 * ((AB36 + AD36)/2)) + (0.1 * ((AH36 + AJ36)/2)))</f>
        <v>54.030962868121122</v>
      </c>
      <c r="AM36" s="2">
        <f xml:space="preserve"> 0.2 * E36 + 0.4 * G36 + 0.4 * AK36</f>
        <v>10.852636351023781</v>
      </c>
    </row>
    <row r="37" spans="1:39" x14ac:dyDescent="0.25">
      <c r="A37" s="14">
        <f>A36+1</f>
        <v>5</v>
      </c>
      <c r="B37" s="2" t="s">
        <v>411</v>
      </c>
      <c r="C37" s="2">
        <f>RANK(AM37,$AM$3:$AM$60,1)</f>
        <v>15</v>
      </c>
      <c r="D37" s="2">
        <v>41</v>
      </c>
      <c r="E37" s="2">
        <f xml:space="preserve"> ((D37 - $D$64)/($D$63 - $D$64))*100</f>
        <v>8.908685968819599</v>
      </c>
      <c r="F37" s="2">
        <v>45</v>
      </c>
      <c r="G37" s="2">
        <f xml:space="preserve"> ((F37 - $F$64)/($F$63 - $F$64))*100</f>
        <v>12.5</v>
      </c>
      <c r="H37" s="2" t="b">
        <f>D37&lt;=F37</f>
        <v>1</v>
      </c>
      <c r="I37" s="44">
        <f>VLOOKUP(B37,Uni_TU_Lkp,6,FALSE)</f>
        <v>71.099999999999994</v>
      </c>
      <c r="J37" s="44">
        <f>VLOOKUP(B37,Uni_TU_Lkp,7,FALSE)</f>
        <v>66.8</v>
      </c>
      <c r="K37" s="44">
        <f>VLOOKUP(B37,Uni_TU_Lkp,8,FALSE)</f>
        <v>87.4</v>
      </c>
      <c r="L37" s="44">
        <f>VLOOKUP(B37,Uni_TU_Lkp,9,FALSE)</f>
        <v>96.4</v>
      </c>
      <c r="M37" s="11">
        <f>VLOOKUP(B37,AI_Rank,2,FALSE)</f>
        <v>45</v>
      </c>
      <c r="N37" s="2">
        <f xml:space="preserve"> ((M37 - $M$64)/($M$63 - $M$64))*100</f>
        <v>24.444444444444443</v>
      </c>
      <c r="O37" s="11">
        <f>VLOOKUP(B37,AI_Rank,3,FALSE)</f>
        <v>6</v>
      </c>
      <c r="P37" s="11">
        <f xml:space="preserve"> ((O37 - $O$64)/($O$63 - $O$64)) * 100</f>
        <v>12.958963282937367</v>
      </c>
      <c r="Q37" s="11">
        <f>VLOOKUP(B37,AI_Rank,4,FALSE)</f>
        <v>19</v>
      </c>
      <c r="R37" s="11">
        <f xml:space="preserve"> ((Q37 - $Q$64)/($Q$63 - $Q$64)) * 100</f>
        <v>25.373134328358208</v>
      </c>
      <c r="S37" s="11">
        <f>VLOOKUP(B37,Theory_Rank,2,FALSE)</f>
        <v>11</v>
      </c>
      <c r="T37" s="2">
        <f xml:space="preserve"> ((S37 - $S$64)/($S$63 - $S$64))*100</f>
        <v>5.2356020942408374</v>
      </c>
      <c r="U37" s="11">
        <f>VLOOKUP(B37,Theory_Rank,3,FALSE)</f>
        <v>7.5</v>
      </c>
      <c r="V37" s="11">
        <f xml:space="preserve"> ((U37 - $U$64)/($U$63 - $U$64)) * 100</f>
        <v>58.59375</v>
      </c>
      <c r="W37" s="11">
        <f>VLOOKUP(B37,Theory_Rank,4,FALSE)</f>
        <v>9</v>
      </c>
      <c r="X37" s="11">
        <f xml:space="preserve"> ((W37 - $W$64)/($W$63 - $W$64)) * 100</f>
        <v>39.130434782608695</v>
      </c>
      <c r="Y37" s="11">
        <f>VLOOKUP(B37,Systems_Rank,2,FALSE)</f>
        <v>9</v>
      </c>
      <c r="Z37" s="2">
        <f xml:space="preserve"> ((Y37 - $Y$64)/($Y$63 - $Y$64))*100</f>
        <v>7.2072072072072073</v>
      </c>
      <c r="AA37" s="11">
        <f>VLOOKUP(B37,Systems_Rank,3,FALSE)</f>
        <v>4.2</v>
      </c>
      <c r="AB37" s="11">
        <f xml:space="preserve"> ((AA37 - $AA$64)/($AA$63 - $AA$64)) * 100</f>
        <v>59.154929577464799</v>
      </c>
      <c r="AC37" s="11">
        <f>VLOOKUP(B37,Systems_Rank,4,FALSE)</f>
        <v>28</v>
      </c>
      <c r="AD37" s="11">
        <f xml:space="preserve"> ((AC37 - $AC$64)/($AC$63 - $AC$64)) * 100</f>
        <v>45.161290322580641</v>
      </c>
      <c r="AE37" s="11">
        <f>VLOOKUP(B37,InterD_Rank,2,FALSE)</f>
        <v>32</v>
      </c>
      <c r="AF37" s="2">
        <f xml:space="preserve"> ((AE37 - $AE$64)/($AE$63 - $AE$64))*100</f>
        <v>29.245283018867923</v>
      </c>
      <c r="AG37" s="11">
        <f>VLOOKUP(B37,InterD_Rank,3,FALSE)</f>
        <v>3.3</v>
      </c>
      <c r="AH37" s="11">
        <f xml:space="preserve"> ((AG37 - $AG$64)/($AG$63 - $AG$64)) * 100</f>
        <v>18.857142857142854</v>
      </c>
      <c r="AI37" s="11">
        <f>VLOOKUP(B37,InterD_Rank,4,FALSE)</f>
        <v>10</v>
      </c>
      <c r="AJ37" s="11">
        <f xml:space="preserve"> ((AI37 - $AI$64)/($AI$63 - $AI$64)) * 100</f>
        <v>16.666666666666664</v>
      </c>
      <c r="AK37" s="2">
        <f xml:space="preserve"> 0.5 * N37 + 0.2 * T37 + 0.15 * Z37 + 0.15 * AF37</f>
        <v>18.737216174981658</v>
      </c>
      <c r="AL37" s="2">
        <f>0.5*((I37+K37+L37)/3) + 0.5 * ((0.6 *((P37 + R37)/2)) + (0.2 * ((T37 + V37)/2)) + (0.1 * ((AB37 + AD37)/2)) + (0.1 * ((AH37 + AJ37)/2)))</f>
        <v>54.920616315336083</v>
      </c>
      <c r="AM37" s="2">
        <f xml:space="preserve"> 0.2 * E37 + 0.4 * G37 + 0.4 * AK37</f>
        <v>14.276623663756585</v>
      </c>
    </row>
    <row r="38" spans="1:39" x14ac:dyDescent="0.25">
      <c r="A38" s="14">
        <f>A37+1</f>
        <v>6</v>
      </c>
      <c r="B38" s="2" t="s">
        <v>43</v>
      </c>
      <c r="C38" s="2">
        <f>RANK(AM38,$AM$3:$AM$60,1)</f>
        <v>19</v>
      </c>
      <c r="D38" s="2">
        <v>5</v>
      </c>
      <c r="E38" s="2">
        <f xml:space="preserve"> ((D38 - $D$64)/($D$63 - $D$64))*100</f>
        <v>0.89086859688195985</v>
      </c>
      <c r="F38" s="2">
        <v>7</v>
      </c>
      <c r="G38" s="2">
        <f xml:space="preserve"> ((F38 - $F$64)/($F$63 - $F$64))*100</f>
        <v>1.7045454545454544</v>
      </c>
      <c r="H38" s="2" t="b">
        <f>D38&lt;=F38</f>
        <v>1</v>
      </c>
      <c r="I38" s="44">
        <f>VLOOKUP(B38,Uni_TU_Lkp,6,FALSE)</f>
        <v>81</v>
      </c>
      <c r="J38" s="44">
        <f>VLOOKUP(B38,Uni_TU_Lkp,7,FALSE)</f>
        <v>97.3</v>
      </c>
      <c r="K38" s="44">
        <f>VLOOKUP(B38,Uni_TU_Lkp,8,FALSE)</f>
        <v>81.2</v>
      </c>
      <c r="L38" s="44">
        <f>VLOOKUP(B38,Uni_TU_Lkp,9,FALSE)</f>
        <v>91.9</v>
      </c>
      <c r="M38" s="11">
        <f>VLOOKUP(B38,AI_Rank,2,FALSE)</f>
        <v>33</v>
      </c>
      <c r="N38" s="2">
        <f xml:space="preserve"> ((M38 - $M$64)/($M$63 - $M$64))*100</f>
        <v>17.777777777777779</v>
      </c>
      <c r="O38" s="11">
        <f>VLOOKUP(B38,AI_Rank,3,FALSE)</f>
        <v>8</v>
      </c>
      <c r="P38" s="11">
        <f xml:space="preserve"> ((O38 - $O$64)/($O$63 - $O$64)) * 100</f>
        <v>17.278617710583156</v>
      </c>
      <c r="Q38" s="11">
        <f>VLOOKUP(B38,AI_Rank,4,FALSE)</f>
        <v>25</v>
      </c>
      <c r="R38" s="11">
        <f xml:space="preserve"> ((Q38 - $Q$64)/($Q$63 - $Q$64)) * 100</f>
        <v>34.328358208955223</v>
      </c>
      <c r="S38" s="11">
        <f>VLOOKUP(B38,Theory_Rank,2,FALSE)</f>
        <v>15</v>
      </c>
      <c r="T38" s="2">
        <f xml:space="preserve"> ((S38 - $S$64)/($S$63 - $S$64))*100</f>
        <v>7.3298429319371721</v>
      </c>
      <c r="U38" s="11">
        <f>VLOOKUP(B38,Theory_Rank,3,FALSE)</f>
        <v>6.1</v>
      </c>
      <c r="V38" s="11">
        <f xml:space="preserve"> ((U38 - $U$64)/($U$63 - $U$64)) * 100</f>
        <v>47.656249999999993</v>
      </c>
      <c r="W38" s="11">
        <f>VLOOKUP(B38,Theory_Rank,4,FALSE)</f>
        <v>23</v>
      </c>
      <c r="X38" s="11">
        <f xml:space="preserve"> ((W38 - $W$64)/($W$63 - $W$64)) * 100</f>
        <v>100</v>
      </c>
      <c r="Y38" s="11">
        <v>112</v>
      </c>
      <c r="Z38" s="2">
        <f xml:space="preserve"> ((Y38 - $Y$64)/($Y$63 - $Y$64))*100</f>
        <v>100</v>
      </c>
      <c r="AA38" s="11">
        <v>0</v>
      </c>
      <c r="AB38" s="11">
        <f xml:space="preserve"> ((AA38 - $AA$64)/($AA$63 - $AA$64)) * 100</f>
        <v>0</v>
      </c>
      <c r="AC38" s="11">
        <v>0</v>
      </c>
      <c r="AD38" s="11">
        <f xml:space="preserve"> ((AC38 - $AC$64)/($AC$63 - $AC$64)) * 100</f>
        <v>0</v>
      </c>
      <c r="AE38" s="11">
        <v>107</v>
      </c>
      <c r="AF38" s="2">
        <f xml:space="preserve"> ((AE38 - $AE$64)/($AE$63 - $AE$64))*100</f>
        <v>100</v>
      </c>
      <c r="AG38" s="11">
        <v>0</v>
      </c>
      <c r="AH38" s="11">
        <f xml:space="preserve"> ((AG38 - $AG$64)/($AG$63 - $AG$64)) * 100</f>
        <v>0</v>
      </c>
      <c r="AI38" s="11">
        <v>0</v>
      </c>
      <c r="AJ38" s="11">
        <f xml:space="preserve"> ((AI38 - $AI$64)/($AI$63 - $AI$64)) * 100</f>
        <v>0</v>
      </c>
      <c r="AK38" s="2">
        <f xml:space="preserve"> 0.5 * N38 + 0.2 * T38 + 0.15 * Z38 + 0.15 * AF38</f>
        <v>40.354857475276326</v>
      </c>
      <c r="AL38" s="2">
        <f>0.5*((I38+K38+L38)/3) + 0.5 * ((0.6 *((P38 + R38)/2)) + (0.2 * ((T38 + V38)/2)) + (0.1 * ((AB38 + AD38)/2)) + (0.1 * ((AH38 + AJ38)/2)))</f>
        <v>52.840351034527615</v>
      </c>
      <c r="AM38" s="2">
        <f xml:space="preserve"> 0.2 * E38 + 0.4 * G38 + 0.4 * AK38</f>
        <v>17.001934891305105</v>
      </c>
    </row>
    <row r="39" spans="1:39" x14ac:dyDescent="0.25">
      <c r="A39" s="14">
        <v>4</v>
      </c>
      <c r="B39" s="2" t="s">
        <v>422</v>
      </c>
      <c r="C39" s="2">
        <f>RANK(AM39,$AM$3:$AM$60,1)</f>
        <v>21</v>
      </c>
      <c r="D39" s="2">
        <v>7</v>
      </c>
      <c r="E39" s="2">
        <f xml:space="preserve"> ((D39 - $D$64)/($D$63 - $D$64))*100</f>
        <v>1.3363028953229399</v>
      </c>
      <c r="F39" s="2">
        <v>9</v>
      </c>
      <c r="G39" s="2">
        <f xml:space="preserve"> ((F39 - $F$64)/($F$63 - $F$64))*100</f>
        <v>2.2727272727272729</v>
      </c>
      <c r="H39" s="2" t="b">
        <f>D39&lt;=F39</f>
        <v>1</v>
      </c>
      <c r="I39" s="44">
        <f>VLOOKUP(B39,Uni_TU_Lkp,6,FALSE)</f>
        <v>81</v>
      </c>
      <c r="J39" s="44">
        <f>VLOOKUP(B39,Uni_TU_Lkp,7,FALSE)</f>
        <v>81.3</v>
      </c>
      <c r="K39" s="44">
        <f>VLOOKUP(B39,Uni_TU_Lkp,8,FALSE)</f>
        <v>92</v>
      </c>
      <c r="L39" s="44">
        <f>VLOOKUP(B39,Uni_TU_Lkp,9,FALSE)</f>
        <v>94.3</v>
      </c>
      <c r="M39" s="11">
        <f>VLOOKUP(B39,AI_Rank,2,FALSE)</f>
        <v>36</v>
      </c>
      <c r="N39" s="2">
        <f xml:space="preserve"> ((M39 - $M$64)/($M$63 - $M$64))*100</f>
        <v>19.444444444444446</v>
      </c>
      <c r="O39" s="11">
        <f>VLOOKUP(B39,AI_Rank,3,FALSE)</f>
        <v>7.1</v>
      </c>
      <c r="P39" s="11">
        <f xml:space="preserve"> ((O39 - $O$64)/($O$63 - $O$64)) * 100</f>
        <v>15.33477321814255</v>
      </c>
      <c r="Q39" s="11">
        <f>VLOOKUP(B39,AI_Rank,4,FALSE)</f>
        <v>16</v>
      </c>
      <c r="R39" s="11">
        <f xml:space="preserve"> ((Q39 - $Q$64)/($Q$63 - $Q$64)) * 100</f>
        <v>20.8955223880597</v>
      </c>
      <c r="S39" s="11">
        <f>VLOOKUP(B39,Theory_Rank,2,FALSE)</f>
        <v>19</v>
      </c>
      <c r="T39" s="2">
        <f xml:space="preserve"> ((S39 - $S$64)/($S$63 - $S$64))*100</f>
        <v>9.4240837696335085</v>
      </c>
      <c r="U39" s="11">
        <f>VLOOKUP(B39,Theory_Rank,3,FALSE)</f>
        <v>5.9</v>
      </c>
      <c r="V39" s="11">
        <f xml:space="preserve"> ((U39 - $U$64)/($U$63 - $U$64)) * 100</f>
        <v>46.09375</v>
      </c>
      <c r="W39" s="11">
        <f>VLOOKUP(B39,Theory_Rank,4,FALSE)</f>
        <v>9</v>
      </c>
      <c r="X39" s="11">
        <f xml:space="preserve"> ((W39 - $W$64)/($W$63 - $W$64)) * 100</f>
        <v>39.130434782608695</v>
      </c>
      <c r="Y39" s="11">
        <v>112</v>
      </c>
      <c r="Z39" s="2">
        <f xml:space="preserve"> ((Y39 - $Y$64)/($Y$63 - $Y$64))*100</f>
        <v>100</v>
      </c>
      <c r="AA39" s="11">
        <v>0</v>
      </c>
      <c r="AB39" s="11">
        <f xml:space="preserve"> ((AA39 - $AA$64)/($AA$63 - $AA$64)) * 100</f>
        <v>0</v>
      </c>
      <c r="AC39" s="11">
        <v>0</v>
      </c>
      <c r="AD39" s="11">
        <f xml:space="preserve"> ((AC39 - $AC$64)/($AC$63 - $AC$64)) * 100</f>
        <v>0</v>
      </c>
      <c r="AE39" s="11">
        <v>107</v>
      </c>
      <c r="AF39" s="2">
        <f xml:space="preserve"> ((AE39 - $AE$64)/($AE$63 - $AE$64))*100</f>
        <v>100</v>
      </c>
      <c r="AG39" s="11"/>
      <c r="AH39" s="11">
        <f xml:space="preserve"> ((AG39 - $AG$64)/($AG$63 - $AG$64)) * 100</f>
        <v>0</v>
      </c>
      <c r="AI39" s="11"/>
      <c r="AJ39" s="11">
        <f xml:space="preserve"> ((AI39 - $AI$64)/($AI$63 - $AI$64)) * 100</f>
        <v>0</v>
      </c>
      <c r="AK39" s="2">
        <f xml:space="preserve"> 0.5 * N39 + 0.2 * T39 + 0.15 * Z39 + 0.15 * AF39</f>
        <v>41.607038976148928</v>
      </c>
      <c r="AL39" s="2">
        <f>0.5*((I39+K39+L39)/3) + 0.5 * ((0.6 *((P39 + R39)/2)) + (0.2 * ((T39 + V39)/2)) + (0.1 * ((AB39 + AD39)/2)) + (0.1 * ((AH39 + AJ39)/2)))</f>
        <v>52.76043602941202</v>
      </c>
      <c r="AM39" s="2">
        <f xml:space="preserve"> 0.2 * E39 + 0.4 * G39 + 0.4 * AK39</f>
        <v>17.81916707861507</v>
      </c>
    </row>
    <row r="40" spans="1:39" x14ac:dyDescent="0.25">
      <c r="A40" s="14">
        <f>A39+1</f>
        <v>5</v>
      </c>
      <c r="B40" s="2" t="s">
        <v>407</v>
      </c>
      <c r="C40" s="2">
        <f>RANK(AM40,$AM$3:$AM$60,1)</f>
        <v>23</v>
      </c>
      <c r="D40" s="2">
        <v>53</v>
      </c>
      <c r="E40" s="2">
        <f xml:space="preserve"> ((D40 - $D$64)/($D$63 - $D$64))*100</f>
        <v>11.581291759465479</v>
      </c>
      <c r="F40" s="2">
        <v>75</v>
      </c>
      <c r="G40" s="2">
        <f xml:space="preserve"> ((F40 - $F$64)/($F$63 - $F$64))*100</f>
        <v>21.022727272727273</v>
      </c>
      <c r="H40" s="2" t="b">
        <f>D40&lt;=F40</f>
        <v>1</v>
      </c>
      <c r="I40" s="44">
        <f>VLOOKUP(B40,Uni_TU_Lkp,6,FALSE)</f>
        <v>58.8</v>
      </c>
      <c r="J40" s="44">
        <f>VLOOKUP(B40,Uni_TU_Lkp,7,FALSE)</f>
        <v>69.099999999999994</v>
      </c>
      <c r="K40" s="44">
        <f>VLOOKUP(B40,Uni_TU_Lkp,8,FALSE)</f>
        <v>86.8</v>
      </c>
      <c r="L40" s="44">
        <f>VLOOKUP(B40,Uni_TU_Lkp,9,FALSE)</f>
        <v>98.7</v>
      </c>
      <c r="M40" s="11">
        <f>VLOOKUP(B40,AI_Rank,2,FALSE)</f>
        <v>59</v>
      </c>
      <c r="N40" s="2">
        <f xml:space="preserve"> ((M40 - $M$64)/($M$63 - $M$64))*100</f>
        <v>32.222222222222221</v>
      </c>
      <c r="O40" s="11">
        <f>VLOOKUP(B40,AI_Rank,3,FALSE)</f>
        <v>5.3</v>
      </c>
      <c r="P40" s="11">
        <f xml:space="preserve"> ((O40 - $O$64)/($O$63 - $O$64)) * 100</f>
        <v>11.447084233261339</v>
      </c>
      <c r="Q40" s="11">
        <f>VLOOKUP(B40,AI_Rank,4,FALSE)</f>
        <v>20</v>
      </c>
      <c r="R40" s="11">
        <f xml:space="preserve"> ((Q40 - $Q$64)/($Q$63 - $Q$64)) * 100</f>
        <v>26.865671641791046</v>
      </c>
      <c r="S40" s="11">
        <f>VLOOKUP(B40,Theory_Rank,2,FALSE)</f>
        <v>24</v>
      </c>
      <c r="T40" s="2">
        <f xml:space="preserve"> ((S40 - $S$64)/($S$63 - $S$64))*100</f>
        <v>12.041884816753926</v>
      </c>
      <c r="U40" s="11">
        <f>VLOOKUP(B40,Theory_Rank,3,FALSE)</f>
        <v>4.8</v>
      </c>
      <c r="V40" s="11">
        <f xml:space="preserve"> ((U40 - $U$64)/($U$63 - $U$64)) * 100</f>
        <v>37.499999999999993</v>
      </c>
      <c r="W40" s="11">
        <f>VLOOKUP(B40,Theory_Rank,4,FALSE)</f>
        <v>9</v>
      </c>
      <c r="X40" s="11">
        <f xml:space="preserve"> ((W40 - $W$64)/($W$63 - $W$64)) * 100</f>
        <v>39.130434782608695</v>
      </c>
      <c r="Y40" s="11">
        <f>VLOOKUP(B40,Systems_Rank,2,FALSE)</f>
        <v>6</v>
      </c>
      <c r="Z40" s="2">
        <f xml:space="preserve"> ((Y40 - $Y$64)/($Y$63 - $Y$64))*100</f>
        <v>4.5045045045045047</v>
      </c>
      <c r="AA40" s="11">
        <f>VLOOKUP(B40,Systems_Rank,3,FALSE)</f>
        <v>4.5</v>
      </c>
      <c r="AB40" s="11">
        <f xml:space="preserve"> ((AA40 - $AA$64)/($AA$63 - $AA$64)) * 100</f>
        <v>63.380281690140848</v>
      </c>
      <c r="AC40" s="11">
        <f>VLOOKUP(B40,Systems_Rank,4,FALSE)</f>
        <v>27</v>
      </c>
      <c r="AD40" s="11">
        <f xml:space="preserve"> ((AC40 - $AC$64)/($AC$63 - $AC$64)) * 100</f>
        <v>43.548387096774192</v>
      </c>
      <c r="AE40" s="11">
        <f>VLOOKUP(B40,InterD_Rank,2,FALSE)</f>
        <v>16</v>
      </c>
      <c r="AF40" s="2">
        <f xml:space="preserve"> ((AE40 - $AE$64)/($AE$63 - $AE$64))*100</f>
        <v>14.150943396226415</v>
      </c>
      <c r="AG40" s="11">
        <f>VLOOKUP(B40,InterD_Rank,3,FALSE)</f>
        <v>4.7</v>
      </c>
      <c r="AH40" s="11">
        <f xml:space="preserve"> ((AG40 - $AG$64)/($AG$63 - $AG$64)) * 100</f>
        <v>26.857142857142858</v>
      </c>
      <c r="AI40" s="11">
        <f>VLOOKUP(B40,InterD_Rank,4,FALSE)</f>
        <v>3</v>
      </c>
      <c r="AJ40" s="11">
        <f xml:space="preserve"> ((AI40 - $AI$64)/($AI$63 - $AI$64)) * 100</f>
        <v>5</v>
      </c>
      <c r="AK40" s="2">
        <f xml:space="preserve"> 0.5 * N40 + 0.2 * T40 + 0.15 * Z40 + 0.15 * AF40</f>
        <v>21.317805259571536</v>
      </c>
      <c r="AL40" s="2">
        <f>0.5*((I40+K40+L40)/3) + 0.5 * ((0.6 *((P40 + R40)/2)) + (0.2 * ((T40 + V40)/2)) + (0.1 * ((AB40 + AD40)/2)) + (0.1 * ((AH40 + AJ40)/2)))</f>
        <v>52.410319579863668</v>
      </c>
      <c r="AM40" s="2">
        <f xml:space="preserve"> 0.2 * E40 + 0.4 * G40 + 0.4 * AK40</f>
        <v>19.252471364812621</v>
      </c>
    </row>
    <row r="41" spans="1:39" x14ac:dyDescent="0.25">
      <c r="A41" s="14">
        <f>A40+1</f>
        <v>6</v>
      </c>
      <c r="B41" s="2" t="s">
        <v>44</v>
      </c>
      <c r="C41" s="2">
        <f>RANK(AM41,$AM$3:$AM$60,1)</f>
        <v>24</v>
      </c>
      <c r="D41" s="2">
        <v>8</v>
      </c>
      <c r="E41" s="2">
        <f xml:space="preserve"> ((D41 - $D$64)/($D$63 - $D$64))*100</f>
        <v>1.5590200445434299</v>
      </c>
      <c r="F41" s="2">
        <v>12</v>
      </c>
      <c r="G41" s="2">
        <f xml:space="preserve"> ((F41 - $F$64)/($F$63 - $F$64))*100</f>
        <v>3.125</v>
      </c>
      <c r="H41" s="2" t="b">
        <f>D41&lt;=F41</f>
        <v>1</v>
      </c>
      <c r="I41" s="44">
        <f>VLOOKUP(B41,Uni_TU_Lkp,6,FALSE)</f>
        <v>78.2</v>
      </c>
      <c r="J41" s="44">
        <f>VLOOKUP(B41,Uni_TU_Lkp,7,FALSE)</f>
        <v>88.9</v>
      </c>
      <c r="K41" s="44">
        <f>VLOOKUP(B41,Uni_TU_Lkp,8,FALSE)</f>
        <v>81.7</v>
      </c>
      <c r="L41" s="44">
        <f>VLOOKUP(B41,Uni_TU_Lkp,9,FALSE)</f>
        <v>90.1</v>
      </c>
      <c r="M41" s="11">
        <f>VLOOKUP(B41,AI_Rank,2,FALSE)</f>
        <v>45</v>
      </c>
      <c r="N41" s="2">
        <f xml:space="preserve"> ((M41 - $M$64)/($M$63 - $M$64))*100</f>
        <v>24.444444444444443</v>
      </c>
      <c r="O41" s="11">
        <f>VLOOKUP(B41,AI_Rank,3,FALSE)</f>
        <v>6</v>
      </c>
      <c r="P41" s="11">
        <f xml:space="preserve"> ((O41 - $O$64)/($O$63 - $O$64)) * 100</f>
        <v>12.958963282937367</v>
      </c>
      <c r="Q41" s="11">
        <f>VLOOKUP(B41,AI_Rank,4,FALSE)</f>
        <v>20</v>
      </c>
      <c r="R41" s="11">
        <f xml:space="preserve"> ((Q41 - $Q$64)/($Q$63 - $Q$64)) * 100</f>
        <v>26.865671641791046</v>
      </c>
      <c r="S41" s="11">
        <f>VLOOKUP(B41,Theory_Rank,2,FALSE)</f>
        <v>70</v>
      </c>
      <c r="T41" s="2">
        <f xml:space="preserve"> ((S41 - $S$64)/($S$63 - $S$64))*100</f>
        <v>36.125654450261777</v>
      </c>
      <c r="U41" s="11">
        <f>VLOOKUP(B41,Theory_Rank,3,FALSE)</f>
        <v>2.4</v>
      </c>
      <c r="V41" s="11">
        <f xml:space="preserve"> ((U41 - $U$64)/($U$63 - $U$64)) * 100</f>
        <v>18.749999999999996</v>
      </c>
      <c r="W41" s="11">
        <f>VLOOKUP(B41,Theory_Rank,4,FALSE)</f>
        <v>6</v>
      </c>
      <c r="X41" s="11">
        <f xml:space="preserve"> ((W41 - $W$64)/($W$63 - $W$64)) * 100</f>
        <v>26.086956521739129</v>
      </c>
      <c r="Y41" s="11">
        <v>112</v>
      </c>
      <c r="Z41" s="2">
        <f xml:space="preserve"> ((Y41 - $Y$64)/($Y$63 - $Y$64))*100</f>
        <v>100</v>
      </c>
      <c r="AA41" s="11">
        <v>0</v>
      </c>
      <c r="AB41" s="11">
        <f xml:space="preserve"> ((AA41 - $AA$64)/($AA$63 - $AA$64)) * 100</f>
        <v>0</v>
      </c>
      <c r="AC41" s="11">
        <v>0</v>
      </c>
      <c r="AD41" s="11">
        <f xml:space="preserve"> ((AC41 - $AC$64)/($AC$63 - $AC$64)) * 100</f>
        <v>0</v>
      </c>
      <c r="AE41" s="11">
        <v>107</v>
      </c>
      <c r="AF41" s="2">
        <f xml:space="preserve"> ((AE41 - $AE$64)/($AE$63 - $AE$64))*100</f>
        <v>100</v>
      </c>
      <c r="AG41" s="11">
        <v>0</v>
      </c>
      <c r="AH41" s="11">
        <f xml:space="preserve"> ((AG41 - $AG$64)/($AG$63 - $AG$64)) * 100</f>
        <v>0</v>
      </c>
      <c r="AI41" s="11">
        <v>0</v>
      </c>
      <c r="AJ41" s="11">
        <f xml:space="preserve"> ((AI41 - $AI$64)/($AI$63 - $AI$64)) * 100</f>
        <v>0</v>
      </c>
      <c r="AK41" s="2">
        <f xml:space="preserve"> 0.5 * N41 + 0.2 * T41 + 0.15 * Z41 + 0.15 * AF41</f>
        <v>49.447353112274577</v>
      </c>
      <c r="AL41" s="2">
        <f>0.5*((I41+K41+L41)/3) + 0.5 * ((0.6 *((P41 + R41)/2)) + (0.2 * ((T41 + V41)/2)) + (0.1 * ((AB41 + AD41)/2)) + (0.1 * ((AH41 + AJ41)/2)))</f>
        <v>50.384144627889015</v>
      </c>
      <c r="AM41" s="2">
        <f xml:space="preserve"> 0.2 * E41 + 0.4 * G41 + 0.4 * AK41</f>
        <v>21.340745253818518</v>
      </c>
    </row>
    <row r="42" spans="1:39" x14ac:dyDescent="0.25">
      <c r="A42" s="14">
        <f>A41+1</f>
        <v>7</v>
      </c>
      <c r="B42" s="2" t="s">
        <v>47</v>
      </c>
      <c r="C42" s="2">
        <f>RANK(AM42,$AM$3:$AM$60,1)</f>
        <v>25</v>
      </c>
      <c r="D42" s="2">
        <v>12</v>
      </c>
      <c r="E42" s="2">
        <f xml:space="preserve"> ((D42 - $D$64)/($D$63 - $D$64))*100</f>
        <v>2.4498886414253898</v>
      </c>
      <c r="F42" s="2">
        <v>16</v>
      </c>
      <c r="G42" s="2">
        <f xml:space="preserve"> ((F42 - $F$64)/($F$63 - $F$64))*100</f>
        <v>4.2613636363636358</v>
      </c>
      <c r="H42" s="2" t="b">
        <f>D42&lt;=F42</f>
        <v>1</v>
      </c>
      <c r="I42" s="44">
        <f>VLOOKUP(B42,Uni_TU_Lkp,6,FALSE)</f>
        <v>73.400000000000006</v>
      </c>
      <c r="J42" s="44">
        <f>VLOOKUP(B42,Uni_TU_Lkp,7,FALSE)</f>
        <v>85.1</v>
      </c>
      <c r="K42" s="44">
        <f>VLOOKUP(B42,Uni_TU_Lkp,8,FALSE)</f>
        <v>89.8</v>
      </c>
      <c r="L42" s="44">
        <f>VLOOKUP(B42,Uni_TU_Lkp,9,FALSE)</f>
        <v>91.6</v>
      </c>
      <c r="M42" s="11">
        <f>VLOOKUP(B42,AI_Rank,2,FALSE)</f>
        <v>19</v>
      </c>
      <c r="N42" s="2">
        <f xml:space="preserve"> ((M42 - $M$64)/($M$63 - $M$64))*100</f>
        <v>10</v>
      </c>
      <c r="O42" s="11">
        <f>VLOOKUP(B42,AI_Rank,3,FALSE)</f>
        <v>10.8</v>
      </c>
      <c r="P42" s="11">
        <f xml:space="preserve"> ((O42 - $O$64)/($O$63 - $O$64)) * 100</f>
        <v>23.326133909287261</v>
      </c>
      <c r="Q42" s="11">
        <f>VLOOKUP(B42,AI_Rank,4,FALSE)</f>
        <v>29</v>
      </c>
      <c r="R42" s="11">
        <f xml:space="preserve"> ((Q42 - $Q$64)/($Q$63 - $Q$64)) * 100</f>
        <v>40.298507462686565</v>
      </c>
      <c r="S42" s="11">
        <f>VLOOKUP(B42,Theory_Rank,2,FALSE)</f>
        <v>126</v>
      </c>
      <c r="T42" s="2">
        <f xml:space="preserve"> ((S42 - $S$64)/($S$63 - $S$64))*100</f>
        <v>65.445026178010465</v>
      </c>
      <c r="U42" s="11">
        <f>VLOOKUP(B42,Theory_Rank,3,FALSE)</f>
        <v>1.4</v>
      </c>
      <c r="V42" s="11">
        <f xml:space="preserve"> ((U42 - $U$64)/($U$63 - $U$64)) * 100</f>
        <v>10.937499999999998</v>
      </c>
      <c r="W42" s="11">
        <f>VLOOKUP(B42,Theory_Rank,4,FALSE)</f>
        <v>4</v>
      </c>
      <c r="X42" s="11">
        <f xml:space="preserve"> ((W42 - $W$64)/($W$63 - $W$64)) * 100</f>
        <v>17.391304347826086</v>
      </c>
      <c r="Y42" s="11">
        <v>112</v>
      </c>
      <c r="Z42" s="2">
        <f xml:space="preserve"> ((Y42 - $Y$64)/($Y$63 - $Y$64))*100</f>
        <v>100</v>
      </c>
      <c r="AA42" s="11">
        <v>0</v>
      </c>
      <c r="AB42" s="11">
        <f xml:space="preserve"> ((AA42 - $AA$64)/($AA$63 - $AA$64)) * 100</f>
        <v>0</v>
      </c>
      <c r="AC42" s="11">
        <v>0</v>
      </c>
      <c r="AD42" s="11">
        <f xml:space="preserve"> ((AC42 - $AC$64)/($AC$63 - $AC$64)) * 100</f>
        <v>0</v>
      </c>
      <c r="AE42" s="11">
        <v>107</v>
      </c>
      <c r="AF42" s="2">
        <f xml:space="preserve"> ((AE42 - $AE$64)/($AE$63 - $AE$64))*100</f>
        <v>100</v>
      </c>
      <c r="AG42" s="11">
        <v>0</v>
      </c>
      <c r="AH42" s="11">
        <f xml:space="preserve"> ((AG42 - $AG$64)/($AG$63 - $AG$64)) * 100</f>
        <v>0</v>
      </c>
      <c r="AI42" s="11">
        <v>0</v>
      </c>
      <c r="AJ42" s="11">
        <f xml:space="preserve"> ((AI42 - $AI$64)/($AI$63 - $AI$64)) * 100</f>
        <v>0</v>
      </c>
      <c r="AK42" s="2">
        <f xml:space="preserve"> 0.5 * N42 + 0.2 * T42 + 0.15 * Z42 + 0.15 * AF42</f>
        <v>48.089005235602095</v>
      </c>
      <c r="AL42" s="2">
        <f>0.5*((I42+K42+L42)/3) + 0.5 * ((0.6 *((P42 + R42)/2)) + (0.2 * ((T42 + V42)/2)) + (0.1 * ((AB42 + AD42)/2)) + (0.1 * ((AH42 + AJ42)/2)))</f>
        <v>55.829489181363257</v>
      </c>
      <c r="AM42" s="2">
        <f xml:space="preserve"> 0.2 * E42 + 0.4 * G42 + 0.4 * AK42</f>
        <v>21.430125277071372</v>
      </c>
    </row>
    <row r="43" spans="1:39" x14ac:dyDescent="0.25">
      <c r="A43" s="14">
        <f>A42+1</f>
        <v>8</v>
      </c>
      <c r="B43" s="2" t="s">
        <v>128</v>
      </c>
      <c r="C43" s="2">
        <f>RANK(AM43,$AM$3:$AM$60,1)</f>
        <v>28</v>
      </c>
      <c r="D43" s="2">
        <v>21</v>
      </c>
      <c r="E43" s="2">
        <f xml:space="preserve"> ((D43 - $D$64)/($D$63 - $D$64))*100</f>
        <v>4.4543429844097995</v>
      </c>
      <c r="F43" s="2">
        <v>75</v>
      </c>
      <c r="G43" s="2">
        <f xml:space="preserve"> ((F43 - $F$64)/($F$63 - $F$64))*100</f>
        <v>21.022727272727273</v>
      </c>
      <c r="H43" s="2" t="b">
        <f>D43&lt;=F43</f>
        <v>1</v>
      </c>
      <c r="I43" s="44">
        <f>VLOOKUP(B43,Uni_TU_Lkp,6,FALSE)</f>
        <v>65.3</v>
      </c>
      <c r="J43" s="44">
        <f>VLOOKUP(B43,Uni_TU_Lkp,7,FALSE)</f>
        <v>69.5</v>
      </c>
      <c r="K43" s="44">
        <f>VLOOKUP(B43,Uni_TU_Lkp,8,FALSE)</f>
        <v>73.400000000000006</v>
      </c>
      <c r="L43" s="44">
        <f>VLOOKUP(B43,Uni_TU_Lkp,9,FALSE)</f>
        <v>87.9</v>
      </c>
      <c r="M43" s="11">
        <f>VLOOKUP(B43,AI_Rank,2,FALSE)</f>
        <v>71</v>
      </c>
      <c r="N43" s="2">
        <f xml:space="preserve"> ((M43 - $M$64)/($M$63 - $M$64))*100</f>
        <v>38.888888888888893</v>
      </c>
      <c r="O43" s="11">
        <f>VLOOKUP(B43,AI_Rank,3,FALSE)</f>
        <v>4.7</v>
      </c>
      <c r="P43" s="11">
        <f xml:space="preserve"> ((O43 - $O$64)/($O$63 - $O$64)) * 100</f>
        <v>10.151187904967603</v>
      </c>
      <c r="Q43" s="11">
        <f>VLOOKUP(B43,AI_Rank,4,FALSE)</f>
        <v>10</v>
      </c>
      <c r="R43" s="11">
        <f xml:space="preserve"> ((Q43 - $Q$64)/($Q$63 - $Q$64)) * 100</f>
        <v>11.940298507462686</v>
      </c>
      <c r="S43" s="11">
        <f>VLOOKUP(B43,Theory_Rank,2,FALSE)</f>
        <v>25</v>
      </c>
      <c r="T43" s="2">
        <f xml:space="preserve"> ((S43 - $S$64)/($S$63 - $S$64))*100</f>
        <v>12.56544502617801</v>
      </c>
      <c r="U43" s="11">
        <f>VLOOKUP(B43,Theory_Rank,3,FALSE)</f>
        <v>4.5999999999999996</v>
      </c>
      <c r="V43" s="11">
        <f xml:space="preserve"> ((U43 - $U$64)/($U$63 - $U$64)) * 100</f>
        <v>35.937499999999993</v>
      </c>
      <c r="W43" s="11">
        <f>VLOOKUP(B43,Theory_Rank,4,FALSE)</f>
        <v>6</v>
      </c>
      <c r="X43" s="11">
        <f xml:space="preserve"> ((W43 - $W$64)/($W$63 - $W$64)) * 100</f>
        <v>26.086956521739129</v>
      </c>
      <c r="Y43" s="11">
        <f>VLOOKUP(B43,Systems_Rank,2,FALSE)</f>
        <v>64</v>
      </c>
      <c r="Z43" s="2">
        <f xml:space="preserve"> ((Y43 - $Y$64)/($Y$63 - $Y$64))*100</f>
        <v>56.756756756756758</v>
      </c>
      <c r="AA43" s="11">
        <f>VLOOKUP(B43,Systems_Rank,3,FALSE)</f>
        <v>1.3</v>
      </c>
      <c r="AB43" s="11">
        <f xml:space="preserve"> ((AA43 - $AA$64)/($AA$63 - $AA$64)) * 100</f>
        <v>18.30985915492958</v>
      </c>
      <c r="AC43" s="11">
        <f>VLOOKUP(B43,Systems_Rank,4,FALSE)</f>
        <v>8</v>
      </c>
      <c r="AD43" s="11">
        <f xml:space="preserve"> ((AC43 - $AC$64)/($AC$63 - $AC$64)) * 100</f>
        <v>12.903225806451612</v>
      </c>
      <c r="AE43" s="11">
        <f>VLOOKUP(B43,InterD_Rank,2,FALSE)</f>
        <v>42</v>
      </c>
      <c r="AF43" s="2">
        <f xml:space="preserve"> ((AE43 - $AE$64)/($AE$63 - $AE$64))*100</f>
        <v>38.679245283018872</v>
      </c>
      <c r="AG43" s="11">
        <f>VLOOKUP(B43,InterD_Rank,3,FALSE)</f>
        <v>2.4</v>
      </c>
      <c r="AH43" s="11">
        <f xml:space="preserve"> ((AG43 - $AG$64)/($AG$63 - $AG$64)) * 100</f>
        <v>13.714285714285715</v>
      </c>
      <c r="AI43" s="11">
        <f>VLOOKUP(B43,InterD_Rank,4,FALSE)</f>
        <v>4</v>
      </c>
      <c r="AJ43" s="11">
        <f xml:space="preserve"> ((AI43 - $AI$64)/($AI$63 - $AI$64)) * 100</f>
        <v>6.666666666666667</v>
      </c>
      <c r="AK43" s="2">
        <f xml:space="preserve"> 0.5 * N43 + 0.2 * T43 + 0.15 * Z43 + 0.15 * AF43</f>
        <v>36.272933755646399</v>
      </c>
      <c r="AL43" s="2">
        <f>0.5*((I43+K43+L43)/3) + 0.5 * ((0.6 *((P43 + R43)/2)) + (0.2 * ((T43 + V43)/2)) + (0.1 * ((AB43 + AD43)/2)) + (0.1 * ((AH43 + AJ43)/2)))</f>
        <v>44.795387813398449</v>
      </c>
      <c r="AM43" s="2">
        <f xml:space="preserve"> 0.2 * E43 + 0.4 * G43 + 0.4 * AK43</f>
        <v>23.809133008231431</v>
      </c>
    </row>
    <row r="44" spans="1:39" x14ac:dyDescent="0.25">
      <c r="A44" s="14">
        <f>A43+1</f>
        <v>9</v>
      </c>
      <c r="B44" s="2" t="s">
        <v>123</v>
      </c>
      <c r="C44" s="2">
        <f>RANK(AM44,$AM$3:$AM$60,1)</f>
        <v>30</v>
      </c>
      <c r="D44" s="2">
        <v>15</v>
      </c>
      <c r="E44" s="2">
        <f xml:space="preserve"> ((D44 - $D$64)/($D$63 - $D$64))*100</f>
        <v>3.1180400890868598</v>
      </c>
      <c r="F44" s="2">
        <v>39</v>
      </c>
      <c r="G44" s="2">
        <f xml:space="preserve"> ((F44 - $F$64)/($F$63 - $F$64))*100</f>
        <v>10.795454545454545</v>
      </c>
      <c r="H44" s="2" t="b">
        <f>D44&lt;=F44</f>
        <v>1</v>
      </c>
      <c r="I44" s="44">
        <f>VLOOKUP(B44,Uni_TU_Lkp,6,FALSE)</f>
        <v>72.3</v>
      </c>
      <c r="J44" s="44">
        <f>VLOOKUP(B44,Uni_TU_Lkp,7,FALSE)</f>
        <v>86.8</v>
      </c>
      <c r="K44" s="44">
        <f>VLOOKUP(B44,Uni_TU_Lkp,8,FALSE)</f>
        <v>69.400000000000006</v>
      </c>
      <c r="L44" s="44">
        <f>VLOOKUP(B44,Uni_TU_Lkp,9,FALSE)</f>
        <v>87.1</v>
      </c>
      <c r="M44" s="11">
        <f>VLOOKUP(B44,AI_Rank,2,FALSE)</f>
        <v>105</v>
      </c>
      <c r="N44" s="2">
        <f xml:space="preserve"> ((M44 - $M$64)/($M$63 - $M$64))*100</f>
        <v>57.777777777777771</v>
      </c>
      <c r="O44" s="11">
        <f>VLOOKUP(B44,AI_Rank,3,FALSE)</f>
        <v>3.2</v>
      </c>
      <c r="P44" s="11">
        <f xml:space="preserve"> ((O44 - $O$64)/($O$63 - $O$64)) * 100</f>
        <v>6.911447084233262</v>
      </c>
      <c r="Q44" s="11">
        <f>VLOOKUP(B44,AI_Rank,4,FALSE)</f>
        <v>8</v>
      </c>
      <c r="R44" s="11">
        <f xml:space="preserve"> ((Q44 - $Q$64)/($Q$63 - $Q$64)) * 100</f>
        <v>8.9552238805970141</v>
      </c>
      <c r="S44" s="11">
        <f>VLOOKUP(B44,Theory_Rank,2,FALSE)</f>
        <v>51</v>
      </c>
      <c r="T44" s="2">
        <f xml:space="preserve"> ((S44 - $S$64)/($S$63 - $S$64))*100</f>
        <v>26.178010471204189</v>
      </c>
      <c r="U44" s="11">
        <f>VLOOKUP(B44,Theory_Rank,3,FALSE)</f>
        <v>2.9</v>
      </c>
      <c r="V44" s="11">
        <f xml:space="preserve"> ((U44 - $U$64)/($U$63 - $U$64)) * 100</f>
        <v>22.656249999999996</v>
      </c>
      <c r="W44" s="11">
        <f>VLOOKUP(B44,Theory_Rank,4,FALSE)</f>
        <v>5</v>
      </c>
      <c r="X44" s="11">
        <f xml:space="preserve"> ((W44 - $W$64)/($W$63 - $W$64)) * 100</f>
        <v>21.739130434782609</v>
      </c>
      <c r="Y44" s="11">
        <f>VLOOKUP(B44,Systems_Rank,2,FALSE)</f>
        <v>51</v>
      </c>
      <c r="Z44" s="2">
        <f xml:space="preserve"> ((Y44 - $Y$64)/($Y$63 - $Y$64))*100</f>
        <v>45.045045045045043</v>
      </c>
      <c r="AA44" s="11">
        <f>VLOOKUP(B44,Systems_Rank,3,FALSE)</f>
        <v>1.6</v>
      </c>
      <c r="AB44" s="11">
        <f xml:space="preserve"> ((AA44 - $AA$64)/($AA$63 - $AA$64)) * 100</f>
        <v>22.535211267605636</v>
      </c>
      <c r="AC44" s="11">
        <f>VLOOKUP(B44,Systems_Rank,4,FALSE)</f>
        <v>14</v>
      </c>
      <c r="AD44" s="11">
        <f xml:space="preserve"> ((AC44 - $AC$64)/($AC$63 - $AC$64)) * 100</f>
        <v>22.58064516129032</v>
      </c>
      <c r="AE44" s="11">
        <f>VLOOKUP(B44,InterD_Rank,2,FALSE)</f>
        <v>52</v>
      </c>
      <c r="AF44" s="2">
        <f xml:space="preserve"> ((AE44 - $AE$64)/($AE$63 - $AE$64))*100</f>
        <v>48.113207547169814</v>
      </c>
      <c r="AG44" s="11">
        <f>VLOOKUP(B44,InterD_Rank,3,FALSE)</f>
        <v>2</v>
      </c>
      <c r="AH44" s="11">
        <f xml:space="preserve"> ((AG44 - $AG$64)/($AG$63 - $AG$64)) * 100</f>
        <v>11.428571428571429</v>
      </c>
      <c r="AI44" s="11">
        <f>VLOOKUP(B44,InterD_Rank,4,FALSE)</f>
        <v>6</v>
      </c>
      <c r="AJ44" s="11">
        <f xml:space="preserve"> ((AI44 - $AI$64)/($AI$63 - $AI$64)) * 100</f>
        <v>10</v>
      </c>
      <c r="AK44" s="2">
        <f xml:space="preserve"> 0.5 * N44 + 0.2 * T44 + 0.15 * Z44 + 0.15 * AF44</f>
        <v>48.098228871961958</v>
      </c>
      <c r="AL44" s="2">
        <f>0.5*((I44+K44+L44)/3) + 0.5 * ((0.6 *((P44 + R44)/2)) + (0.2 * ((T44 + V44)/2)) + (0.1 * ((AB44 + AD44)/2)) + (0.1 * ((AH44 + AJ44)/2)))</f>
        <v>44.618657698054768</v>
      </c>
      <c r="AM44" s="2">
        <f xml:space="preserve"> 0.2 * E44 + 0.4 * G44 + 0.4 * AK44</f>
        <v>24.181081384783973</v>
      </c>
    </row>
    <row r="45" spans="1:39" x14ac:dyDescent="0.25">
      <c r="A45" s="14">
        <f>A44+1</f>
        <v>10</v>
      </c>
      <c r="B45" s="2" t="s">
        <v>127</v>
      </c>
      <c r="C45" s="2">
        <f>RANK(AM45,$AM$3:$AM$60,1)</f>
        <v>32</v>
      </c>
      <c r="D45" s="2">
        <v>26</v>
      </c>
      <c r="E45" s="2">
        <f xml:space="preserve"> ((D45 - $D$64)/($D$63 - $D$64))*100</f>
        <v>5.56792873051225</v>
      </c>
      <c r="F45" s="2">
        <v>75</v>
      </c>
      <c r="G45" s="2">
        <f xml:space="preserve"> ((F45 - $F$64)/($F$63 - $F$64))*100</f>
        <v>21.022727272727273</v>
      </c>
      <c r="H45" s="2" t="b">
        <f>D45&lt;=F45</f>
        <v>1</v>
      </c>
      <c r="I45" s="44">
        <f>VLOOKUP(B45,Uni_TU_Lkp,6,FALSE)</f>
        <v>63</v>
      </c>
      <c r="J45" s="44">
        <f>VLOOKUP(B45,Uni_TU_Lkp,7,FALSE)</f>
        <v>70.5</v>
      </c>
      <c r="K45" s="44">
        <f>VLOOKUP(B45,Uni_TU_Lkp,8,FALSE)</f>
        <v>76.900000000000006</v>
      </c>
      <c r="L45" s="44">
        <f>VLOOKUP(B45,Uni_TU_Lkp,9,FALSE)</f>
        <v>91.8</v>
      </c>
      <c r="M45" s="11">
        <f>VLOOKUP(B45,AI_Rank,2,FALSE)</f>
        <v>86</v>
      </c>
      <c r="N45" s="2">
        <f xml:space="preserve"> ((M45 - $M$64)/($M$63 - $M$64))*100</f>
        <v>47.222222222222221</v>
      </c>
      <c r="O45" s="11">
        <f>VLOOKUP(B45,AI_Rank,3,FALSE)</f>
        <v>4.0999999999999996</v>
      </c>
      <c r="P45" s="11">
        <f xml:space="preserve"> ((O45 - $O$64)/($O$63 - $O$64)) * 100</f>
        <v>8.8552915766738654</v>
      </c>
      <c r="Q45" s="11">
        <f>VLOOKUP(B45,AI_Rank,4,FALSE)</f>
        <v>13</v>
      </c>
      <c r="R45" s="11">
        <f xml:space="preserve"> ((Q45 - $Q$64)/($Q$63 - $Q$64)) * 100</f>
        <v>16.417910447761194</v>
      </c>
      <c r="S45" s="11">
        <f>VLOOKUP(B45,Theory_Rank,2,FALSE)</f>
        <v>84</v>
      </c>
      <c r="T45" s="2">
        <f xml:space="preserve"> ((S45 - $S$64)/($S$63 - $S$64))*100</f>
        <v>43.455497382198956</v>
      </c>
      <c r="U45" s="11">
        <f>VLOOKUP(B45,Theory_Rank,3,FALSE)</f>
        <v>2.1</v>
      </c>
      <c r="V45" s="11">
        <f xml:space="preserve"> ((U45 - $U$64)/($U$63 - $U$64)) * 100</f>
        <v>16.40625</v>
      </c>
      <c r="W45" s="11">
        <f>VLOOKUP(B45,Theory_Rank,4,FALSE)</f>
        <v>4</v>
      </c>
      <c r="X45" s="11">
        <f xml:space="preserve"> ((W45 - $W$64)/($W$63 - $W$64)) * 100</f>
        <v>17.391304347826086</v>
      </c>
      <c r="Y45" s="11">
        <f>VLOOKUP(B45,Systems_Rank,2,FALSE)</f>
        <v>51</v>
      </c>
      <c r="Z45" s="2">
        <f xml:space="preserve"> ((Y45 - $Y$64)/($Y$63 - $Y$64))*100</f>
        <v>45.045045045045043</v>
      </c>
      <c r="AA45" s="11">
        <f>VLOOKUP(B45,Systems_Rank,3,FALSE)</f>
        <v>1.6</v>
      </c>
      <c r="AB45" s="11">
        <f xml:space="preserve"> ((AA45 - $AA$64)/($AA$63 - $AA$64)) * 100</f>
        <v>22.535211267605636</v>
      </c>
      <c r="AC45" s="11">
        <f>VLOOKUP(B45,Systems_Rank,4,FALSE)</f>
        <v>12</v>
      </c>
      <c r="AD45" s="11">
        <f xml:space="preserve"> ((AC45 - $AC$64)/($AC$63 - $AC$64)) * 100</f>
        <v>19.35483870967742</v>
      </c>
      <c r="AE45" s="11">
        <f>VLOOKUP(B45,InterD_Rank,2,FALSE)</f>
        <v>42</v>
      </c>
      <c r="AF45" s="2">
        <f xml:space="preserve"> ((AE45 - $AE$64)/($AE$63 - $AE$64))*100</f>
        <v>38.679245283018872</v>
      </c>
      <c r="AG45" s="11">
        <f>VLOOKUP(B45,InterD_Rank,3,FALSE)</f>
        <v>2.4</v>
      </c>
      <c r="AH45" s="11">
        <f xml:space="preserve"> ((AG45 - $AG$64)/($AG$63 - $AG$64)) * 100</f>
        <v>13.714285714285715</v>
      </c>
      <c r="AI45" s="11">
        <f>VLOOKUP(B45,InterD_Rank,4,FALSE)</f>
        <v>4</v>
      </c>
      <c r="AJ45" s="11">
        <f xml:space="preserve"> ((AI45 - $AI$64)/($AI$63 - $AI$64)) * 100</f>
        <v>6.666666666666667</v>
      </c>
      <c r="AK45" s="2">
        <f xml:space="preserve"> 0.5 * N45 + 0.2 * T45 + 0.15 * Z45 + 0.15 * AF45</f>
        <v>44.860854136760494</v>
      </c>
      <c r="AL45" s="2">
        <f>0.5*((I45+K45+L45)/3) + 0.5 * ((0.6 *((P45 + R45)/2)) + (0.2 * ((T45 + V45)/2)) + (0.1 * ((AB45 + AD45)/2)) + (0.1 * ((AH45 + AJ45)/2)))</f>
        <v>46.957509398397761</v>
      </c>
      <c r="AM45" s="2">
        <f xml:space="preserve"> 0.2 * E45 + 0.4 * G45 + 0.4 * AK45</f>
        <v>27.467018309897561</v>
      </c>
    </row>
    <row r="46" spans="1:39" x14ac:dyDescent="0.25">
      <c r="A46" s="14">
        <f>A45+1</f>
        <v>11</v>
      </c>
      <c r="B46" s="2" t="s">
        <v>42</v>
      </c>
      <c r="C46" s="2">
        <f>RANK(AM46,$AM$3:$AM$60,1)</f>
        <v>35</v>
      </c>
      <c r="D46" s="2">
        <v>4</v>
      </c>
      <c r="E46" s="2">
        <f xml:space="preserve"> ((D46 - $D$64)/($D$63 - $D$64))*100</f>
        <v>0.66815144766146994</v>
      </c>
      <c r="F46" s="2">
        <v>22</v>
      </c>
      <c r="G46" s="2">
        <f xml:space="preserve"> ((F46 - $F$64)/($F$63 - $F$64))*100</f>
        <v>5.9659090909090908</v>
      </c>
      <c r="H46" s="2" t="b">
        <f>D46&lt;=F46</f>
        <v>1</v>
      </c>
      <c r="I46" s="44">
        <f>VLOOKUP(B46,Uni_TU_Lkp,6,FALSE)</f>
        <v>78.900000000000006</v>
      </c>
      <c r="J46" s="44">
        <f>VLOOKUP(B46,Uni_TU_Lkp,7,FALSE)</f>
        <v>80.900000000000006</v>
      </c>
      <c r="K46" s="44">
        <f>VLOOKUP(B46,Uni_TU_Lkp,8,FALSE)</f>
        <v>78.8</v>
      </c>
      <c r="L46" s="44">
        <f>VLOOKUP(B46,Uni_TU_Lkp,9,FALSE)</f>
        <v>90.8</v>
      </c>
      <c r="M46" s="11">
        <f>VLOOKUP(B46,AI_Rank,2,FALSE)</f>
        <v>122</v>
      </c>
      <c r="N46" s="2">
        <f xml:space="preserve"> ((M46 - $M$64)/($M$63 - $M$64))*100</f>
        <v>67.222222222222229</v>
      </c>
      <c r="O46" s="11">
        <f>VLOOKUP(B46,AI_Rank,3,FALSE)</f>
        <v>2.7</v>
      </c>
      <c r="P46" s="11">
        <f xml:space="preserve"> ((O46 - $O$64)/($O$63 - $O$64)) * 100</f>
        <v>5.8315334773218153</v>
      </c>
      <c r="Q46" s="11">
        <f>VLOOKUP(B46,AI_Rank,4,FALSE)</f>
        <v>6</v>
      </c>
      <c r="R46" s="11">
        <f xml:space="preserve"> ((Q46 - $Q$64)/($Q$63 - $Q$64)) * 100</f>
        <v>5.9701492537313428</v>
      </c>
      <c r="S46" s="11">
        <f>VLOOKUP(B46,Theory_Rank,2,FALSE)</f>
        <v>70</v>
      </c>
      <c r="T46" s="2">
        <f xml:space="preserve"> ((S46 - $S$64)/($S$63 - $S$64))*100</f>
        <v>36.125654450261777</v>
      </c>
      <c r="U46" s="11">
        <f>VLOOKUP(B46,Theory_Rank,3,FALSE)</f>
        <v>2.4</v>
      </c>
      <c r="V46" s="11">
        <f xml:space="preserve"> ((U46 - $U$64)/($U$63 - $U$64)) * 100</f>
        <v>18.749999999999996</v>
      </c>
      <c r="W46" s="11">
        <f>VLOOKUP(B46,Theory_Rank,4,FALSE)</f>
        <v>4</v>
      </c>
      <c r="X46" s="11">
        <f xml:space="preserve"> ((W46 - $W$64)/($W$63 - $W$64)) * 100</f>
        <v>17.391304347826086</v>
      </c>
      <c r="Y46" s="11">
        <f>VLOOKUP(B46,Systems_Rank,2,FALSE)</f>
        <v>75</v>
      </c>
      <c r="Z46" s="2">
        <f xml:space="preserve"> ((Y46 - $Y$64)/($Y$63 - $Y$64))*100</f>
        <v>66.666666666666657</v>
      </c>
      <c r="AA46" s="11">
        <f>VLOOKUP(B46,Systems_Rank,3,FALSE)</f>
        <v>1.2</v>
      </c>
      <c r="AB46" s="11">
        <f xml:space="preserve"> ((AA46 - $AA$64)/($AA$63 - $AA$64)) * 100</f>
        <v>16.901408450704224</v>
      </c>
      <c r="AC46" s="11">
        <f>VLOOKUP(B46,Systems_Rank,4,FALSE)</f>
        <v>2</v>
      </c>
      <c r="AD46" s="11">
        <f xml:space="preserve"> ((AC46 - $AC$64)/($AC$63 - $AC$64)) * 100</f>
        <v>3.225806451612903</v>
      </c>
      <c r="AE46" s="11">
        <v>107</v>
      </c>
      <c r="AF46" s="2">
        <f xml:space="preserve"> ((AE46 - $AE$64)/($AE$63 - $AE$64))*100</f>
        <v>100</v>
      </c>
      <c r="AG46" s="11">
        <v>0</v>
      </c>
      <c r="AH46" s="11">
        <f xml:space="preserve"> ((AG46 - $AG$64)/($AG$63 - $AG$64)) * 100</f>
        <v>0</v>
      </c>
      <c r="AI46" s="11">
        <v>0</v>
      </c>
      <c r="AJ46" s="11">
        <f xml:space="preserve"> ((AI46 - $AI$64)/($AI$63 - $AI$64)) * 100</f>
        <v>0</v>
      </c>
      <c r="AK46" s="2">
        <f xml:space="preserve"> 0.5 * N46 + 0.2 * T46 + 0.15 * Z46 + 0.15 * AF46</f>
        <v>65.83624200116347</v>
      </c>
      <c r="AL46" s="2">
        <f>0.5*((I46+K46+L46)/3) + 0.5 * ((0.6 *((P46 + R46)/2)) + (0.2 * ((T46 + V46)/2)) + (0.1 * ((AB46 + AD46)/2)) + (0.1 * ((AH46 + AJ46)/2)))</f>
        <v>46.433882171395652</v>
      </c>
      <c r="AM46" s="2">
        <f xml:space="preserve"> 0.2 * E46 + 0.4 * G46 + 0.4 * AK46</f>
        <v>28.85449072636132</v>
      </c>
    </row>
    <row r="47" spans="1:39" x14ac:dyDescent="0.25">
      <c r="A47" s="14">
        <f>A46+1</f>
        <v>12</v>
      </c>
      <c r="B47" s="2" t="s">
        <v>27</v>
      </c>
      <c r="C47" s="2">
        <f>RANK(AM47,$AM$3:$AM$60,1)</f>
        <v>36</v>
      </c>
      <c r="D47" s="2">
        <v>9</v>
      </c>
      <c r="E47" s="2">
        <f xml:space="preserve"> ((D47 - $D$64)/($D$63 - $D$64))*100</f>
        <v>1.7817371937639197</v>
      </c>
      <c r="F47" s="2">
        <v>75</v>
      </c>
      <c r="G47" s="2">
        <f xml:space="preserve"> ((F47 - $F$64)/($F$63 - $F$64))*100</f>
        <v>21.022727272727273</v>
      </c>
      <c r="H47" s="2" t="b">
        <f>D47&lt;=F47</f>
        <v>1</v>
      </c>
      <c r="I47" s="44">
        <f>VLOOKUP(B47,Uni_TU_Lkp,6,FALSE)</f>
        <v>67.7</v>
      </c>
      <c r="J47" s="44">
        <f>VLOOKUP(B47,Uni_TU_Lkp,7,FALSE)</f>
        <v>77.5</v>
      </c>
      <c r="K47" s="44">
        <f>VLOOKUP(B47,Uni_TU_Lkp,8,FALSE)</f>
        <v>67.599999999999994</v>
      </c>
      <c r="L47" s="44">
        <f>VLOOKUP(B47,Uni_TU_Lkp,9,FALSE)</f>
        <v>85.5</v>
      </c>
      <c r="M47" s="11">
        <f>VLOOKUP(B47,AI_Rank,2,FALSE)</f>
        <v>140</v>
      </c>
      <c r="N47" s="2">
        <f xml:space="preserve"> ((M47 - $M$64)/($M$63 - $M$64))*100</f>
        <v>77.222222222222229</v>
      </c>
      <c r="O47" s="11">
        <f>VLOOKUP(B47,AI_Rank,3,FALSE)</f>
        <v>2.2999999999999998</v>
      </c>
      <c r="P47" s="11">
        <f xml:space="preserve"> ((O47 - $O$64)/($O$63 - $O$64)) * 100</f>
        <v>4.967602591792657</v>
      </c>
      <c r="Q47" s="11">
        <f>VLOOKUP(B47,AI_Rank,4,FALSE)</f>
        <v>7</v>
      </c>
      <c r="R47" s="11">
        <f xml:space="preserve"> ((Q47 - $Q$64)/($Q$63 - $Q$64)) * 100</f>
        <v>7.4626865671641784</v>
      </c>
      <c r="S47" s="11">
        <f>VLOOKUP(B47,Theory_Rank,2,FALSE)</f>
        <v>55</v>
      </c>
      <c r="T47" s="2">
        <f xml:space="preserve"> ((S47 - $S$64)/($S$63 - $S$64))*100</f>
        <v>28.272251308900525</v>
      </c>
      <c r="U47" s="11">
        <f>VLOOKUP(B47,Theory_Rank,3,FALSE)</f>
        <v>2.8</v>
      </c>
      <c r="V47" s="11">
        <f xml:space="preserve"> ((U47 - $U$64)/($U$63 - $U$64)) * 100</f>
        <v>21.874999999999996</v>
      </c>
      <c r="W47" s="11">
        <f>VLOOKUP(B47,Theory_Rank,4,FALSE)</f>
        <v>7</v>
      </c>
      <c r="X47" s="11">
        <f xml:space="preserve"> ((W47 - $W$64)/($W$63 - $W$64)) * 100</f>
        <v>30.434782608695656</v>
      </c>
      <c r="Y47" s="11">
        <f>VLOOKUP(B47,Systems_Rank,2,FALSE)</f>
        <v>13</v>
      </c>
      <c r="Z47" s="2">
        <f xml:space="preserve"> ((Y47 - $Y$64)/($Y$63 - $Y$64))*100</f>
        <v>10.810810810810811</v>
      </c>
      <c r="AA47" s="11">
        <f>VLOOKUP(B47,Systems_Rank,3,FALSE)</f>
        <v>3.4</v>
      </c>
      <c r="AB47" s="11">
        <f xml:space="preserve"> ((AA47 - $AA$64)/($AA$63 - $AA$64)) * 100</f>
        <v>47.887323943661976</v>
      </c>
      <c r="AC47" s="11">
        <f>VLOOKUP(B47,Systems_Rank,4,FALSE)</f>
        <v>18</v>
      </c>
      <c r="AD47" s="11">
        <f xml:space="preserve"> ((AC47 - $AC$64)/($AC$63 - $AC$64)) * 100</f>
        <v>29.032258064516132</v>
      </c>
      <c r="AE47" s="11">
        <f>VLOOKUP(B47,InterD_Rank,2,FALSE)</f>
        <v>35</v>
      </c>
      <c r="AF47" s="2">
        <f xml:space="preserve"> ((AE47 - $AE$64)/($AE$63 - $AE$64))*100</f>
        <v>32.075471698113205</v>
      </c>
      <c r="AG47" s="11">
        <f>VLOOKUP(B47,InterD_Rank,3,FALSE)</f>
        <v>2.8</v>
      </c>
      <c r="AH47" s="11">
        <f xml:space="preserve"> ((AG47 - $AG$64)/($AG$63 - $AG$64)) * 100</f>
        <v>16</v>
      </c>
      <c r="AI47" s="11">
        <f>VLOOKUP(B47,InterD_Rank,4,FALSE)</f>
        <v>8</v>
      </c>
      <c r="AJ47" s="11">
        <f xml:space="preserve"> ((AI47 - $AI$64)/($AI$63 - $AI$64)) * 100</f>
        <v>13.333333333333334</v>
      </c>
      <c r="AK47" s="2">
        <f xml:space="preserve"> 0.5 * N47 + 0.2 * T47 + 0.15 * Z47 + 0.15 * AF47</f>
        <v>50.698503749229822</v>
      </c>
      <c r="AL47" s="2">
        <f>0.5*((I47+K47+L47)/3) + 0.5 * ((0.6 *((P47 + R47)/2)) + (0.2 * ((T47 + V47)/2)) + (0.1 * ((AB47 + AD47)/2)) + (0.1 * ((AH47 + AJ47)/2)))</f>
        <v>43.82822882282634</v>
      </c>
      <c r="AM47" s="2">
        <f xml:space="preserve"> 0.2 * E47 + 0.4 * G47 + 0.4 * AK47</f>
        <v>29.044839847535624</v>
      </c>
    </row>
    <row r="48" spans="1:39" x14ac:dyDescent="0.25">
      <c r="A48" s="14">
        <f>A47+1</f>
        <v>13</v>
      </c>
      <c r="B48" s="2" t="s">
        <v>18</v>
      </c>
      <c r="C48" s="2">
        <f>RANK(AM48,$AM$3:$AM$60,1)</f>
        <v>37</v>
      </c>
      <c r="D48" s="2">
        <v>34</v>
      </c>
      <c r="E48" s="2">
        <f xml:space="preserve"> ((D48 - $D$64)/($D$63 - $D$64))*100</f>
        <v>7.3496659242761693</v>
      </c>
      <c r="F48" s="2">
        <v>125</v>
      </c>
      <c r="G48" s="2">
        <f xml:space="preserve"> ((F48 - $F$64)/($F$63 - $F$64))*100</f>
        <v>35.227272727272727</v>
      </c>
      <c r="H48" s="2" t="b">
        <f>D48&lt;=F48</f>
        <v>1</v>
      </c>
      <c r="I48" s="44">
        <f>VLOOKUP(B48,Uni_TU_Lkp,6,FALSE)</f>
        <v>49.6</v>
      </c>
      <c r="J48" s="44">
        <f>VLOOKUP(B48,Uni_TU_Lkp,7,FALSE)</f>
        <v>76.599999999999994</v>
      </c>
      <c r="K48" s="44">
        <f>VLOOKUP(B48,Uni_TU_Lkp,8,FALSE)</f>
        <v>71.8</v>
      </c>
      <c r="L48" s="44">
        <f>VLOOKUP(B48,Uni_TU_Lkp,9,FALSE)</f>
        <v>89.4</v>
      </c>
      <c r="M48" s="11">
        <f>VLOOKUP(B48,AI_Rank,2,FALSE)</f>
        <v>91</v>
      </c>
      <c r="N48" s="2">
        <f xml:space="preserve"> ((M48 - $M$64)/($M$63 - $M$64))*100</f>
        <v>50</v>
      </c>
      <c r="O48" s="11">
        <f>VLOOKUP(B48,AI_Rank,3,FALSE)</f>
        <v>3.9</v>
      </c>
      <c r="P48" s="11">
        <f xml:space="preserve"> ((O48 - $O$64)/($O$63 - $O$64)) * 100</f>
        <v>8.4233261339092884</v>
      </c>
      <c r="Q48" s="11">
        <f>VLOOKUP(B48,AI_Rank,4,FALSE)</f>
        <v>14</v>
      </c>
      <c r="R48" s="11">
        <f xml:space="preserve"> ((Q48 - $Q$64)/($Q$63 - $Q$64)) * 100</f>
        <v>17.910447761194028</v>
      </c>
      <c r="S48" s="11">
        <f>VLOOKUP(B48,Theory_Rank,2,FALSE)</f>
        <v>70</v>
      </c>
      <c r="T48" s="2">
        <f xml:space="preserve"> ((S48 - $S$64)/($S$63 - $S$64))*100</f>
        <v>36.125654450261777</v>
      </c>
      <c r="U48" s="11">
        <f>VLOOKUP(B48,Theory_Rank,3,FALSE)</f>
        <v>2.4</v>
      </c>
      <c r="V48" s="11">
        <f xml:space="preserve"> ((U48 - $U$64)/($U$63 - $U$64)) * 100</f>
        <v>18.749999999999996</v>
      </c>
      <c r="W48" s="11">
        <f>VLOOKUP(B48,Theory_Rank,4,FALSE)</f>
        <v>4</v>
      </c>
      <c r="X48" s="11">
        <f xml:space="preserve"> ((W48 - $W$64)/($W$63 - $W$64)) * 100</f>
        <v>17.391304347826086</v>
      </c>
      <c r="Y48" s="11">
        <f>VLOOKUP(B48,Systems_Rank,2,FALSE)</f>
        <v>30</v>
      </c>
      <c r="Z48" s="2">
        <f xml:space="preserve"> ((Y48 - $Y$64)/($Y$63 - $Y$64))*100</f>
        <v>26.126126126126124</v>
      </c>
      <c r="AA48" s="11">
        <f>VLOOKUP(B48,Systems_Rank,3,FALSE)</f>
        <v>2.1</v>
      </c>
      <c r="AB48" s="11">
        <f xml:space="preserve"> ((AA48 - $AA$64)/($AA$63 - $AA$64)) * 100</f>
        <v>29.577464788732399</v>
      </c>
      <c r="AC48" s="11">
        <f>VLOOKUP(B48,Systems_Rank,4,FALSE)</f>
        <v>18</v>
      </c>
      <c r="AD48" s="11">
        <f xml:space="preserve"> ((AC48 - $AC$64)/($AC$63 - $AC$64)) * 100</f>
        <v>29.032258064516132</v>
      </c>
      <c r="AE48" s="11">
        <f>VLOOKUP(B48,InterD_Rank,2,FALSE)</f>
        <v>17</v>
      </c>
      <c r="AF48" s="2">
        <f xml:space="preserve"> ((AE48 - $AE$64)/($AE$63 - $AE$64))*100</f>
        <v>15.09433962264151</v>
      </c>
      <c r="AG48" s="11">
        <f>VLOOKUP(B48,InterD_Rank,3,FALSE)</f>
        <v>4.2</v>
      </c>
      <c r="AH48" s="11">
        <f xml:space="preserve"> ((AG48 - $AG$64)/($AG$63 - $AG$64)) * 100</f>
        <v>24.000000000000004</v>
      </c>
      <c r="AI48" s="11">
        <f>VLOOKUP(B48,InterD_Rank,4,FALSE)</f>
        <v>7</v>
      </c>
      <c r="AJ48" s="11">
        <f xml:space="preserve"> ((AI48 - $AI$64)/($AI$63 - $AI$64)) * 100</f>
        <v>11.666666666666666</v>
      </c>
      <c r="AK48" s="2">
        <f xml:space="preserve"> 0.5 * N48 + 0.2 * T48 + 0.15 * Z48 + 0.15 * AF48</f>
        <v>38.408200752367499</v>
      </c>
      <c r="AL48" s="2">
        <f>0.5*((I48+K48+L48)/3) + 0.5 * ((0.6 *((P48 + R48)/2)) + (0.2 * ((T48 + V48)/2)) + (0.1 * ((AB48 + AD48)/2)) + (0.1 * ((AH48 + AJ48)/2)))</f>
        <v>44.184091878109797</v>
      </c>
      <c r="AM48" s="2">
        <f xml:space="preserve"> 0.2 * E48 + 0.4 * G48 + 0.4 * AK48</f>
        <v>30.924122576711326</v>
      </c>
    </row>
    <row r="49" spans="1:39" x14ac:dyDescent="0.25">
      <c r="A49" s="14">
        <f>A48+1</f>
        <v>14</v>
      </c>
      <c r="B49" s="2" t="s">
        <v>110</v>
      </c>
      <c r="C49" s="2">
        <f>RANK(AM49,$AM$3:$AM$60,1)</f>
        <v>39</v>
      </c>
      <c r="D49" s="2">
        <v>56</v>
      </c>
      <c r="E49" s="2">
        <f xml:space="preserve"> ((D49 - $D$64)/($D$63 - $D$64))*100</f>
        <v>12.24944320712695</v>
      </c>
      <c r="F49" s="2">
        <v>125</v>
      </c>
      <c r="G49" s="2">
        <f xml:space="preserve"> ((F49 - $F$64)/($F$63 - $F$64))*100</f>
        <v>35.227272727272727</v>
      </c>
      <c r="H49" s="2" t="b">
        <f>D49&lt;=F49</f>
        <v>1</v>
      </c>
      <c r="I49" s="44">
        <f>VLOOKUP(B49,Uni_TU_Lkp,6,FALSE)</f>
        <v>58.3</v>
      </c>
      <c r="J49" s="44">
        <f>VLOOKUP(B49,Uni_TU_Lkp,7,FALSE)</f>
        <v>66.7</v>
      </c>
      <c r="K49" s="44">
        <f>VLOOKUP(B49,Uni_TU_Lkp,8,FALSE)</f>
        <v>71.8</v>
      </c>
      <c r="L49" s="44">
        <f>VLOOKUP(B49,Uni_TU_Lkp,9,FALSE)</f>
        <v>90.6</v>
      </c>
      <c r="M49" s="11">
        <f>VLOOKUP(B49,AI_Rank,2,FALSE)</f>
        <v>86</v>
      </c>
      <c r="N49" s="2">
        <f xml:space="preserve"> ((M49 - $M$64)/($M$63 - $M$64))*100</f>
        <v>47.222222222222221</v>
      </c>
      <c r="O49" s="11">
        <f>VLOOKUP(B49,AI_Rank,3,FALSE)</f>
        <v>4.0999999999999996</v>
      </c>
      <c r="P49" s="11">
        <f xml:space="preserve"> ((O49 - $O$64)/($O$63 - $O$64)) * 100</f>
        <v>8.8552915766738654</v>
      </c>
      <c r="Q49" s="11">
        <f>VLOOKUP(B49,AI_Rank,4,FALSE)</f>
        <v>10</v>
      </c>
      <c r="R49" s="11">
        <f xml:space="preserve"> ((Q49 - $Q$64)/($Q$63 - $Q$64)) * 100</f>
        <v>11.940298507462686</v>
      </c>
      <c r="S49" s="11">
        <f>VLOOKUP(B49,Theory_Rank,2,FALSE)</f>
        <v>51</v>
      </c>
      <c r="T49" s="2">
        <f xml:space="preserve"> ((S49 - $S$64)/($S$63 - $S$64))*100</f>
        <v>26.178010471204189</v>
      </c>
      <c r="U49" s="11">
        <f>VLOOKUP(B49,Theory_Rank,3,FALSE)</f>
        <v>2.9</v>
      </c>
      <c r="V49" s="11">
        <f xml:space="preserve"> ((U49 - $U$64)/($U$63 - $U$64)) * 100</f>
        <v>22.656249999999996</v>
      </c>
      <c r="W49" s="11">
        <f>VLOOKUP(B49,Theory_Rank,4,FALSE)</f>
        <v>7</v>
      </c>
      <c r="X49" s="11">
        <f xml:space="preserve"> ((W49 - $W$64)/($W$63 - $W$64)) * 100</f>
        <v>30.434782608695656</v>
      </c>
      <c r="Y49" s="11">
        <f>VLOOKUP(B49,Systems_Rank,2,FALSE)</f>
        <v>45</v>
      </c>
      <c r="Z49" s="2">
        <f xml:space="preserve"> ((Y49 - $Y$64)/($Y$63 - $Y$64))*100</f>
        <v>39.63963963963964</v>
      </c>
      <c r="AA49" s="11">
        <f>VLOOKUP(B49,Systems_Rank,3,FALSE)</f>
        <v>1.7</v>
      </c>
      <c r="AB49" s="11">
        <f xml:space="preserve"> ((AA49 - $AA$64)/($AA$63 - $AA$64)) * 100</f>
        <v>23.943661971830988</v>
      </c>
      <c r="AC49" s="11">
        <f>VLOOKUP(B49,Systems_Rank,4,FALSE)</f>
        <v>12</v>
      </c>
      <c r="AD49" s="11">
        <f xml:space="preserve"> ((AC49 - $AC$64)/($AC$63 - $AC$64)) * 100</f>
        <v>19.35483870967742</v>
      </c>
      <c r="AE49" s="11">
        <f>VLOOKUP(B49,InterD_Rank,2,FALSE)</f>
        <v>25</v>
      </c>
      <c r="AF49" s="2">
        <f xml:space="preserve"> ((AE49 - $AE$64)/($AE$63 - $AE$64))*100</f>
        <v>22.641509433962266</v>
      </c>
      <c r="AG49" s="11">
        <f>VLOOKUP(B49,InterD_Rank,3,FALSE)</f>
        <v>3.7</v>
      </c>
      <c r="AH49" s="11">
        <f xml:space="preserve"> ((AG49 - $AG$64)/($AG$63 - $AG$64)) * 100</f>
        <v>21.142857142857142</v>
      </c>
      <c r="AI49" s="11">
        <f>VLOOKUP(B49,InterD_Rank,4,FALSE)</f>
        <v>5</v>
      </c>
      <c r="AJ49" s="11">
        <f xml:space="preserve"> ((AI49 - $AI$64)/($AI$63 - $AI$64)) * 100</f>
        <v>8.3333333333333321</v>
      </c>
      <c r="AK49" s="2">
        <f xml:space="preserve"> 0.5 * N49 + 0.2 * T49 + 0.15 * Z49 + 0.15 * AF49</f>
        <v>38.188885566392237</v>
      </c>
      <c r="AL49" s="2">
        <f>0.5*((I49+K49+L49)/3) + 0.5 * ((0.6 *((P49 + R49)/2)) + (0.2 * ((T49 + V49)/2)) + (0.1 * ((AB49 + AD49)/2)) + (0.1 * ((AH49 + AJ49)/2)))</f>
        <v>44.163752148456496</v>
      </c>
      <c r="AM49" s="2">
        <f xml:space="preserve"> 0.2 * E49 + 0.4 * G49 + 0.4 * AK49</f>
        <v>31.816351958891378</v>
      </c>
    </row>
    <row r="50" spans="1:39" x14ac:dyDescent="0.25">
      <c r="A50" s="14">
        <f>A49+1</f>
        <v>15</v>
      </c>
      <c r="B50" s="2" t="s">
        <v>439</v>
      </c>
      <c r="C50" s="2">
        <f>RANK(AM50,$AM$3:$AM$60,1)</f>
        <v>40</v>
      </c>
      <c r="D50" s="2">
        <v>100</v>
      </c>
      <c r="E50" s="2">
        <f xml:space="preserve"> ((D50 - $D$64)/($D$63 - $D$64))*100</f>
        <v>22.048997772828507</v>
      </c>
      <c r="F50" s="2">
        <v>125</v>
      </c>
      <c r="G50" s="2">
        <f xml:space="preserve"> ((F50 - $F$64)/($F$63 - $F$64))*100</f>
        <v>35.227272727272727</v>
      </c>
      <c r="H50" s="2" t="b">
        <f>D50&lt;=F50</f>
        <v>1</v>
      </c>
      <c r="I50" s="44">
        <f>VLOOKUP(B50,Uni_TU_Lkp,6,FALSE)</f>
        <v>56.7</v>
      </c>
      <c r="J50" s="44">
        <f>VLOOKUP(B50,Uni_TU_Lkp,7,FALSE)</f>
        <v>61.7</v>
      </c>
      <c r="K50" s="44">
        <f>VLOOKUP(B50,Uni_TU_Lkp,8,FALSE)</f>
        <v>77.599999999999994</v>
      </c>
      <c r="L50" s="44">
        <f>VLOOKUP(B50,Uni_TU_Lkp,9,FALSE)</f>
        <v>91.8</v>
      </c>
      <c r="M50" s="11">
        <f>VLOOKUP(B50,AI_Rank,2,FALSE)</f>
        <v>66</v>
      </c>
      <c r="N50" s="2">
        <f xml:space="preserve"> ((M50 - $M$64)/($M$63 - $M$64))*100</f>
        <v>36.111111111111107</v>
      </c>
      <c r="O50" s="11">
        <f>VLOOKUP(B50,AI_Rank,3,FALSE)</f>
        <v>4.9000000000000004</v>
      </c>
      <c r="P50" s="11">
        <f xml:space="preserve"> ((O50 - $O$64)/($O$63 - $O$64)) * 100</f>
        <v>10.583153347732182</v>
      </c>
      <c r="Q50" s="11">
        <f>VLOOKUP(B50,AI_Rank,4,FALSE)</f>
        <v>6</v>
      </c>
      <c r="R50" s="11">
        <f xml:space="preserve"> ((Q50 - $Q$64)/($Q$63 - $Q$64)) * 100</f>
        <v>5.9701492537313428</v>
      </c>
      <c r="S50" s="11">
        <f>VLOOKUP(B50,Theory_Rank,2,FALSE)</f>
        <v>58</v>
      </c>
      <c r="T50" s="2">
        <f xml:space="preserve"> ((S50 - $S$64)/($S$63 - $S$64))*100</f>
        <v>29.842931937172771</v>
      </c>
      <c r="U50" s="11">
        <f>VLOOKUP(B50,Theory_Rank,3,FALSE)</f>
        <v>2.7</v>
      </c>
      <c r="V50" s="11">
        <f xml:space="preserve"> ((U50 - $U$64)/($U$63 - $U$64)) * 100</f>
        <v>21.09375</v>
      </c>
      <c r="W50" s="11">
        <f>VLOOKUP(B50,Theory_Rank,4,FALSE)</f>
        <v>4</v>
      </c>
      <c r="X50" s="11">
        <f xml:space="preserve"> ((W50 - $W$64)/($W$63 - $W$64)) * 100</f>
        <v>17.391304347826086</v>
      </c>
      <c r="Y50" s="11">
        <f>VLOOKUP(B50,Systems_Rank,2,FALSE)</f>
        <v>45</v>
      </c>
      <c r="Z50" s="2">
        <f xml:space="preserve"> ((Y50 - $Y$64)/($Y$63 - $Y$64))*100</f>
        <v>39.63963963963964</v>
      </c>
      <c r="AA50" s="11">
        <f>VLOOKUP(B50,Systems_Rank,3,FALSE)</f>
        <v>1.7</v>
      </c>
      <c r="AB50" s="11">
        <f xml:space="preserve"> ((AA50 - $AA$64)/($AA$63 - $AA$64)) * 100</f>
        <v>23.943661971830988</v>
      </c>
      <c r="AC50" s="11">
        <f>VLOOKUP(B50,Systems_Rank,4,FALSE)</f>
        <v>14</v>
      </c>
      <c r="AD50" s="11">
        <f xml:space="preserve"> ((AC50 - $AC$64)/($AC$63 - $AC$64)) * 100</f>
        <v>22.58064516129032</v>
      </c>
      <c r="AE50" s="11">
        <f>VLOOKUP(B50,InterD_Rank,2,FALSE)</f>
        <v>35</v>
      </c>
      <c r="AF50" s="2">
        <f xml:space="preserve"> ((AE50 - $AE$64)/($AE$63 - $AE$64))*100</f>
        <v>32.075471698113205</v>
      </c>
      <c r="AG50" s="11">
        <f>VLOOKUP(B50,InterD_Rank,3,FALSE)</f>
        <v>2.8</v>
      </c>
      <c r="AH50" s="11">
        <f xml:space="preserve"> ((AG50 - $AG$64)/($AG$63 - $AG$64)) * 100</f>
        <v>16</v>
      </c>
      <c r="AI50" s="11">
        <f>VLOOKUP(B50,InterD_Rank,4,FALSE)</f>
        <v>6</v>
      </c>
      <c r="AJ50" s="11">
        <f xml:space="preserve"> ((AI50 - $AI$64)/($AI$63 - $AI$64)) * 100</f>
        <v>10</v>
      </c>
      <c r="AK50" s="2">
        <f xml:space="preserve"> 0.5 * N50 + 0.2 * T50 + 0.15 * Z50 + 0.15 * AF50</f>
        <v>34.781408643653037</v>
      </c>
      <c r="AL50" s="2">
        <f>0.5*((I50+K50+L50)/3) + 0.5 * ((0.6 *((P50 + R50)/2)) + (0.2 * ((T50 + V50)/2)) + (0.1 * ((AB50 + AD50)/2)) + (0.1 * ((AH50 + AJ50)/2)))</f>
        <v>44.526270498739535</v>
      </c>
      <c r="AM50" s="2">
        <f xml:space="preserve"> 0.2 * E50 + 0.4 * G50 + 0.4 * AK50</f>
        <v>32.413272102936013</v>
      </c>
    </row>
    <row r="51" spans="1:39" x14ac:dyDescent="0.25">
      <c r="A51" s="14">
        <f>A50+1</f>
        <v>16</v>
      </c>
      <c r="B51" s="2" t="s">
        <v>429</v>
      </c>
      <c r="C51" s="2">
        <f>RANK(AM51,$AM$3:$AM$60,1)</f>
        <v>43</v>
      </c>
      <c r="D51" s="2">
        <v>83</v>
      </c>
      <c r="E51" s="2">
        <f xml:space="preserve"> ((D51 - $D$64)/($D$63 - $D$64))*100</f>
        <v>18.262806236080177</v>
      </c>
      <c r="F51" s="2">
        <v>125</v>
      </c>
      <c r="G51" s="2">
        <f xml:space="preserve"> ((F51 - $F$64)/($F$63 - $F$64))*100</f>
        <v>35.227272727272727</v>
      </c>
      <c r="H51" s="2" t="b">
        <f>D51&lt;=F51</f>
        <v>1</v>
      </c>
      <c r="I51" s="44">
        <f>VLOOKUP(B51,Uni_TU_Lkp,6,FALSE)</f>
        <v>65</v>
      </c>
      <c r="J51" s="44">
        <f>VLOOKUP(B51,Uni_TU_Lkp,7,FALSE)</f>
        <v>61.3</v>
      </c>
      <c r="K51" s="44">
        <f>VLOOKUP(B51,Uni_TU_Lkp,8,FALSE)</f>
        <v>71.8</v>
      </c>
      <c r="L51" s="44">
        <f>VLOOKUP(B51,Uni_TU_Lkp,9,FALSE)</f>
        <v>91.9</v>
      </c>
      <c r="M51" s="11">
        <f>VLOOKUP(B51,AI_Rank,2,FALSE)</f>
        <v>77</v>
      </c>
      <c r="N51" s="2">
        <f xml:space="preserve"> ((M51 - $M$64)/($M$63 - $M$64))*100</f>
        <v>42.222222222222221</v>
      </c>
      <c r="O51" s="11">
        <f>VLOOKUP(B51,AI_Rank,3,FALSE)</f>
        <v>4.4000000000000004</v>
      </c>
      <c r="P51" s="11">
        <f xml:space="preserve"> ((O51 - $O$64)/($O$63 - $O$64)) * 100</f>
        <v>9.503239740820737</v>
      </c>
      <c r="Q51" s="11">
        <f>VLOOKUP(B51,AI_Rank,4,FALSE)</f>
        <v>9</v>
      </c>
      <c r="R51" s="11">
        <f xml:space="preserve"> ((Q51 - $Q$64)/($Q$63 - $Q$64)) * 100</f>
        <v>10.44776119402985</v>
      </c>
      <c r="S51" s="11">
        <v>192</v>
      </c>
      <c r="T51" s="2">
        <f xml:space="preserve"> ((S51 - $S$64)/($S$63 - $S$64))*100</f>
        <v>100</v>
      </c>
      <c r="U51" s="11"/>
      <c r="V51" s="11">
        <f xml:space="preserve"> ((U51 - $U$64)/($U$63 - $U$64)) * 100</f>
        <v>0</v>
      </c>
      <c r="W51" s="11"/>
      <c r="X51" s="11">
        <f xml:space="preserve"> ((W51 - $W$64)/($W$63 - $W$64)) * 100</f>
        <v>0</v>
      </c>
      <c r="Y51" s="11">
        <f>VLOOKUP(B51,Systems_Rank,2,FALSE)</f>
        <v>51</v>
      </c>
      <c r="Z51" s="2">
        <f xml:space="preserve"> ((Y51 - $Y$64)/($Y$63 - $Y$64))*100</f>
        <v>45.045045045045043</v>
      </c>
      <c r="AA51" s="11">
        <f>VLOOKUP(B51,Systems_Rank,3,FALSE)</f>
        <v>1.6</v>
      </c>
      <c r="AB51" s="11">
        <f xml:space="preserve"> ((AA51 - $AA$64)/($AA$63 - $AA$64)) * 100</f>
        <v>22.535211267605636</v>
      </c>
      <c r="AC51" s="11">
        <f>VLOOKUP(B51,Systems_Rank,4,FALSE)</f>
        <v>9</v>
      </c>
      <c r="AD51" s="11">
        <f xml:space="preserve"> ((AC51 - $AC$64)/($AC$63 - $AC$64)) * 100</f>
        <v>14.516129032258066</v>
      </c>
      <c r="AE51" s="11">
        <f>VLOOKUP(B51,InterD_Rank,2,FALSE)</f>
        <v>24</v>
      </c>
      <c r="AF51" s="2">
        <f xml:space="preserve"> ((AE51 - $AE$64)/($AE$63 - $AE$64))*100</f>
        <v>21.69811320754717</v>
      </c>
      <c r="AG51" s="11">
        <f>VLOOKUP(B51,InterD_Rank,3,FALSE)</f>
        <v>3.8</v>
      </c>
      <c r="AH51" s="11">
        <f xml:space="preserve"> ((AG51 - $AG$64)/($AG$63 - $AG$64)) * 100</f>
        <v>21.714285714285715</v>
      </c>
      <c r="AI51" s="11">
        <f>VLOOKUP(B51,InterD_Rank,4,FALSE)</f>
        <v>8</v>
      </c>
      <c r="AJ51" s="11">
        <f xml:space="preserve"> ((AI51 - $AI$64)/($AI$63 - $AI$64)) * 100</f>
        <v>13.333333333333334</v>
      </c>
      <c r="AK51" s="2">
        <f xml:space="preserve"> 0.5 * N51 + 0.2 * T51 + 0.15 * Z51 + 0.15 * AF51</f>
        <v>51.122584848999949</v>
      </c>
      <c r="AL51" s="2">
        <f>0.5*((I51+K51+L51)/3) + 0.5 * ((0.6 *((P51 + R51)/2)) + (0.2 * ((T51 + V51)/2)) + (0.1 * ((AB51 + AD51)/2)) + (0.1 * ((AH51 + AJ51)/2)))</f>
        <v>47.911790790581321</v>
      </c>
      <c r="AM51" s="2">
        <f xml:space="preserve"> 0.2 * E51 + 0.4 * G51 + 0.4 * AK51</f>
        <v>38.192504277725106</v>
      </c>
    </row>
    <row r="52" spans="1:39" x14ac:dyDescent="0.25">
      <c r="A52" s="14">
        <f>A51+1</f>
        <v>17</v>
      </c>
      <c r="B52" s="2" t="s">
        <v>432</v>
      </c>
      <c r="C52" s="2">
        <f>RANK(AM52,$AM$3:$AM$60,1)</f>
        <v>44</v>
      </c>
      <c r="D52" s="2">
        <v>132</v>
      </c>
      <c r="E52" s="2">
        <f xml:space="preserve"> ((D52 - $D$64)/($D$63 - $D$64))*100</f>
        <v>29.175946547884184</v>
      </c>
      <c r="F52" s="2">
        <v>175</v>
      </c>
      <c r="G52" s="2">
        <f xml:space="preserve"> ((F52 - $F$64)/($F$63 - $F$64))*100</f>
        <v>49.43181818181818</v>
      </c>
      <c r="H52" s="2" t="b">
        <f>D52&lt;=F52</f>
        <v>1</v>
      </c>
      <c r="I52" s="44">
        <f>VLOOKUP(B52,Uni_TU_Lkp,6,FALSE)</f>
        <v>58.9</v>
      </c>
      <c r="J52" s="44">
        <f>VLOOKUP(B52,Uni_TU_Lkp,7,FALSE)</f>
        <v>49.5</v>
      </c>
      <c r="K52" s="44">
        <f>VLOOKUP(B52,Uni_TU_Lkp,8,FALSE)</f>
        <v>77.900000000000006</v>
      </c>
      <c r="L52" s="44">
        <f>VLOOKUP(B52,Uni_TU_Lkp,9,FALSE)</f>
        <v>91.8</v>
      </c>
      <c r="M52" s="11">
        <f>VLOOKUP(B52,AI_Rank,2,FALSE)</f>
        <v>80</v>
      </c>
      <c r="N52" s="2">
        <f xml:space="preserve"> ((M52 - $M$64)/($M$63 - $M$64))*100</f>
        <v>43.888888888888886</v>
      </c>
      <c r="O52" s="11">
        <f>VLOOKUP(B52,AI_Rank,3,FALSE)</f>
        <v>4.3</v>
      </c>
      <c r="P52" s="11">
        <f xml:space="preserve"> ((O52 - $O$64)/($O$63 - $O$64)) * 100</f>
        <v>9.2872570194384458</v>
      </c>
      <c r="Q52" s="11">
        <f>VLOOKUP(B52,AI_Rank,4,FALSE)</f>
        <v>15</v>
      </c>
      <c r="R52" s="11">
        <f xml:space="preserve"> ((Q52 - $Q$64)/($Q$63 - $Q$64)) * 100</f>
        <v>19.402985074626866</v>
      </c>
      <c r="S52" s="11">
        <f>VLOOKUP(B52,Theory_Rank,2,FALSE)</f>
        <v>36</v>
      </c>
      <c r="T52" s="2">
        <f xml:space="preserve"> ((S52 - $S$64)/($S$63 - $S$64))*100</f>
        <v>18.32460732984293</v>
      </c>
      <c r="U52" s="11">
        <f>VLOOKUP(B52,Theory_Rank,3,FALSE)</f>
        <v>3.7</v>
      </c>
      <c r="V52" s="11">
        <f xml:space="preserve"> ((U52 - $U$64)/($U$63 - $U$64)) * 100</f>
        <v>28.90625</v>
      </c>
      <c r="W52" s="11">
        <f>VLOOKUP(B52,Theory_Rank,4,FALSE)</f>
        <v>4</v>
      </c>
      <c r="X52" s="11">
        <f xml:space="preserve"> ((W52 - $W$64)/($W$63 - $W$64)) * 100</f>
        <v>17.391304347826086</v>
      </c>
      <c r="Y52" s="11">
        <f>VLOOKUP(B52,Systems_Rank,2,FALSE)</f>
        <v>25</v>
      </c>
      <c r="Z52" s="2">
        <f xml:space="preserve"> ((Y52 - $Y$64)/($Y$63 - $Y$64))*100</f>
        <v>21.621621621621621</v>
      </c>
      <c r="AA52" s="11">
        <f>VLOOKUP(B52,Systems_Rank,3,FALSE)</f>
        <v>2.5</v>
      </c>
      <c r="AB52" s="11">
        <f xml:space="preserve"> ((AA52 - $AA$64)/($AA$63 - $AA$64)) * 100</f>
        <v>35.211267605633807</v>
      </c>
      <c r="AC52" s="11">
        <f>VLOOKUP(B52,Systems_Rank,4,FALSE)</f>
        <v>15</v>
      </c>
      <c r="AD52" s="11">
        <f xml:space="preserve"> ((AC52 - $AC$64)/($AC$63 - $AC$64)) * 100</f>
        <v>24.193548387096776</v>
      </c>
      <c r="AE52" s="11">
        <f>VLOOKUP(B52,InterD_Rank,2,FALSE)</f>
        <v>63</v>
      </c>
      <c r="AF52" s="2">
        <f xml:space="preserve"> ((AE52 - $AE$64)/($AE$63 - $AE$64))*100</f>
        <v>58.490566037735846</v>
      </c>
      <c r="AG52" s="11">
        <f>VLOOKUP(B52,InterD_Rank,3,FALSE)</f>
        <v>1.8</v>
      </c>
      <c r="AH52" s="11">
        <f xml:space="preserve"> ((AG52 - $AG$64)/($AG$63 - $AG$64)) * 100</f>
        <v>10.285714285714285</v>
      </c>
      <c r="AI52" s="11">
        <f>VLOOKUP(B52,InterD_Rank,4,FALSE)</f>
        <v>4</v>
      </c>
      <c r="AJ52" s="11">
        <f xml:space="preserve"> ((AI52 - $AI$64)/($AI$63 - $AI$64)) * 100</f>
        <v>6.666666666666667</v>
      </c>
      <c r="AK52" s="2">
        <f xml:space="preserve"> 0.5 * N52 + 0.2 * T52 + 0.15 * Z52 + 0.15 * AF52</f>
        <v>37.626194059316646</v>
      </c>
      <c r="AL52" s="2">
        <f>0.5*((I52+K52+L52)/3) + 0.5 * ((0.6 *((P52 + R52)/2)) + (0.2 * ((T52 + V52)/2)) + (0.1 * ((AB52 + AD52)/2)) + (0.1 * ((AH52 + AJ52)/2)))</f>
        <v>46.674009104229732</v>
      </c>
      <c r="AM52" s="2">
        <f xml:space="preserve"> 0.2 * E52 + 0.4 * G52 + 0.4 * AK52</f>
        <v>40.658394206030771</v>
      </c>
    </row>
    <row r="53" spans="1:39" x14ac:dyDescent="0.25">
      <c r="A53" s="14">
        <f>A52+1</f>
        <v>18</v>
      </c>
      <c r="B53" s="2" t="s">
        <v>21</v>
      </c>
      <c r="C53" s="2">
        <f>RANK(AM53,$AM$3:$AM$60,1)</f>
        <v>45</v>
      </c>
      <c r="D53" s="2">
        <v>52</v>
      </c>
      <c r="E53" s="2">
        <f xml:space="preserve"> ((D53 - $D$64)/($D$63 - $D$64))*100</f>
        <v>11.358574610244988</v>
      </c>
      <c r="F53" s="2">
        <v>75</v>
      </c>
      <c r="G53" s="2">
        <f xml:space="preserve"> ((F53 - $F$64)/($F$63 - $F$64))*100</f>
        <v>21.022727272727273</v>
      </c>
      <c r="H53" s="2" t="b">
        <f>D53&lt;=F53</f>
        <v>1</v>
      </c>
      <c r="I53" s="44">
        <f>VLOOKUP(B53,Uni_TU_Lkp,6,FALSE)</f>
        <v>61.6</v>
      </c>
      <c r="J53" s="44">
        <f>VLOOKUP(B53,Uni_TU_Lkp,7,FALSE)</f>
        <v>72.3</v>
      </c>
      <c r="K53" s="44">
        <f>VLOOKUP(B53,Uni_TU_Lkp,8,FALSE)</f>
        <v>82.5</v>
      </c>
      <c r="L53" s="44">
        <f>VLOOKUP(B53,Uni_TU_Lkp,9,FALSE)</f>
        <v>84.8</v>
      </c>
      <c r="M53" s="11">
        <f>VLOOKUP(B53,AI_Rank,2,FALSE)</f>
        <v>102</v>
      </c>
      <c r="N53" s="2">
        <f xml:space="preserve"> ((M53 - $M$64)/($M$63 - $M$64))*100</f>
        <v>56.111111111111114</v>
      </c>
      <c r="O53" s="11">
        <f>VLOOKUP(B53,AI_Rank,3,FALSE)</f>
        <v>3.3</v>
      </c>
      <c r="P53" s="11">
        <f xml:space="preserve"> ((O53 - $O$64)/($O$63 - $O$64)) * 100</f>
        <v>7.1274298056155514</v>
      </c>
      <c r="Q53" s="11">
        <f>VLOOKUP(B53,AI_Rank,4,FALSE)</f>
        <v>16</v>
      </c>
      <c r="R53" s="11">
        <f xml:space="preserve"> ((Q53 - $Q$64)/($Q$63 - $Q$64)) * 100</f>
        <v>20.8955223880597</v>
      </c>
      <c r="S53" s="11">
        <f>VLOOKUP(B53,Theory_Rank,2,FALSE)</f>
        <v>166</v>
      </c>
      <c r="T53" s="2">
        <f xml:space="preserve"> ((S53 - $S$64)/($S$63 - $S$64))*100</f>
        <v>86.387434554973822</v>
      </c>
      <c r="U53" s="11">
        <f>VLOOKUP(B53,Theory_Rank,3,FALSE)</f>
        <v>1.1000000000000001</v>
      </c>
      <c r="V53" s="11">
        <f xml:space="preserve"> ((U53 - $U$64)/($U$63 - $U$64)) * 100</f>
        <v>8.59375</v>
      </c>
      <c r="W53" s="11">
        <f>VLOOKUP(B53,Theory_Rank,4,FALSE)</f>
        <v>1</v>
      </c>
      <c r="X53" s="11">
        <f xml:space="preserve"> ((W53 - $W$64)/($W$63 - $W$64)) * 100</f>
        <v>4.3478260869565215</v>
      </c>
      <c r="Y53" s="11">
        <v>112</v>
      </c>
      <c r="Z53" s="2">
        <f xml:space="preserve"> ((Y53 - $Y$64)/($Y$63 - $Y$64))*100</f>
        <v>100</v>
      </c>
      <c r="AA53" s="11">
        <v>0</v>
      </c>
      <c r="AB53" s="11">
        <f xml:space="preserve"> ((AA53 - $AA$64)/($AA$63 - $AA$64)) * 100</f>
        <v>0</v>
      </c>
      <c r="AC53" s="11">
        <v>0</v>
      </c>
      <c r="AD53" s="11">
        <f xml:space="preserve"> ((AC53 - $AC$64)/($AC$63 - $AC$64)) * 100</f>
        <v>0</v>
      </c>
      <c r="AE53" s="11">
        <v>107</v>
      </c>
      <c r="AF53" s="2">
        <f xml:space="preserve"> ((AE53 - $AE$64)/($AE$63 - $AE$64))*100</f>
        <v>100</v>
      </c>
      <c r="AG53" s="11">
        <v>0</v>
      </c>
      <c r="AH53" s="11">
        <f xml:space="preserve"> ((AG53 - $AG$64)/($AG$63 - $AG$64)) * 100</f>
        <v>0</v>
      </c>
      <c r="AI53" s="11">
        <v>0</v>
      </c>
      <c r="AJ53" s="11">
        <f xml:space="preserve"> ((AI53 - $AI$64)/($AI$63 - $AI$64)) * 100</f>
        <v>0</v>
      </c>
      <c r="AK53" s="2">
        <f xml:space="preserve"> 0.5 * N53 + 0.2 * T53 + 0.15 * Z53 + 0.15 * AF53</f>
        <v>75.333042466550324</v>
      </c>
      <c r="AL53" s="2">
        <f>0.5*((I53+K53+L53)/3) + 0.5 * ((0.6 *((P53 + R53)/2)) + (0.2 * ((T53 + V53)/2)) + (0.1 * ((AB53 + AD53)/2)) + (0.1 * ((AH53 + AJ53)/2)))</f>
        <v>47.102502056799977</v>
      </c>
      <c r="AM53" s="2">
        <f xml:space="preserve"> 0.2 * E53 + 0.4 * G53 + 0.4 * AK53</f>
        <v>40.814022817760041</v>
      </c>
    </row>
    <row r="54" spans="1:39" x14ac:dyDescent="0.25">
      <c r="A54" s="14">
        <f>A53+1</f>
        <v>19</v>
      </c>
      <c r="B54" s="2" t="s">
        <v>420</v>
      </c>
      <c r="C54" s="2">
        <f>RANK(AM54,$AM$3:$AM$60,1)</f>
        <v>46</v>
      </c>
      <c r="D54" s="2">
        <v>89</v>
      </c>
      <c r="E54" s="2">
        <f xml:space="preserve"> ((D54 - $D$64)/($D$63 - $D$64))*100</f>
        <v>19.599109131403118</v>
      </c>
      <c r="F54" s="2">
        <v>175</v>
      </c>
      <c r="G54" s="2">
        <f xml:space="preserve"> ((F54 - $F$64)/($F$63 - $F$64))*100</f>
        <v>49.43181818181818</v>
      </c>
      <c r="H54" s="2" t="b">
        <f>D54&lt;=F54</f>
        <v>1</v>
      </c>
      <c r="I54" s="44">
        <f>VLOOKUP(B54,Uni_TU_Lkp,6,FALSE)</f>
        <v>49.8</v>
      </c>
      <c r="J54" s="44">
        <f>VLOOKUP(B54,Uni_TU_Lkp,7,FALSE)</f>
        <v>65.099999999999994</v>
      </c>
      <c r="K54" s="44">
        <f>VLOOKUP(B54,Uni_TU_Lkp,8,FALSE)</f>
        <v>79.7</v>
      </c>
      <c r="L54" s="44">
        <f>VLOOKUP(B54,Uni_TU_Lkp,9,FALSE)</f>
        <v>91.2</v>
      </c>
      <c r="M54" s="11">
        <f>VLOOKUP(B54,AI_Rank,2,FALSE)</f>
        <v>83</v>
      </c>
      <c r="N54" s="2">
        <f xml:space="preserve"> ((M54 - $M$64)/($M$63 - $M$64))*100</f>
        <v>45.555555555555557</v>
      </c>
      <c r="O54" s="11">
        <f>VLOOKUP(B54,AI_Rank,3,FALSE)</f>
        <v>4.2</v>
      </c>
      <c r="P54" s="11">
        <f xml:space="preserve"> ((O54 - $O$64)/($O$63 - $O$64)) * 100</f>
        <v>9.0712742980561565</v>
      </c>
      <c r="Q54" s="11">
        <f>VLOOKUP(B54,AI_Rank,4,FALSE)</f>
        <v>12</v>
      </c>
      <c r="R54" s="11">
        <f xml:space="preserve"> ((Q54 - $Q$64)/($Q$63 - $Q$64)) * 100</f>
        <v>14.925373134328357</v>
      </c>
      <c r="S54" s="11">
        <f>VLOOKUP(B54,Theory_Rank,2,FALSE)</f>
        <v>110</v>
      </c>
      <c r="T54" s="2">
        <f xml:space="preserve"> ((S54 - $S$64)/($S$63 - $S$64))*100</f>
        <v>57.068062827225127</v>
      </c>
      <c r="U54" s="11">
        <f>VLOOKUP(B54,Theory_Rank,3,FALSE)</f>
        <v>1.7</v>
      </c>
      <c r="V54" s="11">
        <f xml:space="preserve"> ((U54 - $U$64)/($U$63 - $U$64)) * 100</f>
        <v>13.28125</v>
      </c>
      <c r="W54" s="11">
        <f>VLOOKUP(B54,Theory_Rank,4,FALSE)</f>
        <v>4</v>
      </c>
      <c r="X54" s="11">
        <f xml:space="preserve"> ((W54 - $W$64)/($W$63 - $W$64)) * 100</f>
        <v>17.391304347826086</v>
      </c>
      <c r="Y54" s="11">
        <f>VLOOKUP(B54,Systems_Rank,2,FALSE)</f>
        <v>18</v>
      </c>
      <c r="Z54" s="2">
        <f xml:space="preserve"> ((Y54 - $Y$64)/($Y$63 - $Y$64))*100</f>
        <v>15.315315315315313</v>
      </c>
      <c r="AA54" s="11">
        <f>VLOOKUP(B54,Systems_Rank,3,FALSE)</f>
        <v>2.9</v>
      </c>
      <c r="AB54" s="11">
        <f xml:space="preserve"> ((AA54 - $AA$64)/($AA$63 - $AA$64)) * 100</f>
        <v>40.845070422535215</v>
      </c>
      <c r="AC54" s="11">
        <f>VLOOKUP(B54,Systems_Rank,4,FALSE)</f>
        <v>19</v>
      </c>
      <c r="AD54" s="11">
        <f xml:space="preserve"> ((AC54 - $AC$64)/($AC$63 - $AC$64)) * 100</f>
        <v>30.64516129032258</v>
      </c>
      <c r="AE54" s="11">
        <f>VLOOKUP(B54,InterD_Rank,2,FALSE)</f>
        <v>48</v>
      </c>
      <c r="AF54" s="2">
        <f xml:space="preserve"> ((AE54 - $AE$64)/($AE$63 - $AE$64))*100</f>
        <v>44.339622641509436</v>
      </c>
      <c r="AG54" s="11">
        <f>VLOOKUP(B54,InterD_Rank,3,FALSE)</f>
        <v>2.2000000000000002</v>
      </c>
      <c r="AH54" s="11">
        <f xml:space="preserve"> ((AG54 - $AG$64)/($AG$63 - $AG$64)) * 100</f>
        <v>12.571428571428573</v>
      </c>
      <c r="AI54" s="11">
        <f>VLOOKUP(B54,InterD_Rank,4,FALSE)</f>
        <v>5</v>
      </c>
      <c r="AJ54" s="11">
        <f xml:space="preserve"> ((AI54 - $AI$64)/($AI$63 - $AI$64)) * 100</f>
        <v>8.3333333333333321</v>
      </c>
      <c r="AK54" s="2">
        <f xml:space="preserve"> 0.5 * N54 + 0.2 * T54 + 0.15 * Z54 + 0.15 * AF54</f>
        <v>43.139631036746522</v>
      </c>
      <c r="AL54" s="2">
        <f>0.5*((I54+K54+L54)/3) + 0.5 * ((0.6 *((P54 + R54)/2)) + (0.2 * ((T54 + V54)/2)) + (0.1 * ((AB54 + AD54)/2)) + (0.1 * ((AH54 + AJ54)/2)))</f>
        <v>46.210170929992756</v>
      </c>
      <c r="AM54" s="2">
        <f xml:space="preserve"> 0.2 * E54 + 0.4 * G54 + 0.4 * AK54</f>
        <v>40.948401513706507</v>
      </c>
    </row>
    <row r="55" spans="1:39" x14ac:dyDescent="0.25">
      <c r="A55" s="14">
        <f>A54+1</f>
        <v>20</v>
      </c>
      <c r="B55" s="2" t="s">
        <v>115</v>
      </c>
      <c r="C55" s="2">
        <f>RANK(AM55,$AM$3:$AM$60,1)</f>
        <v>48</v>
      </c>
      <c r="D55" s="2">
        <v>87</v>
      </c>
      <c r="E55" s="2">
        <f xml:space="preserve"> ((D55 - $D$64)/($D$63 - $D$64))*100</f>
        <v>19.153674832962139</v>
      </c>
      <c r="F55" s="2">
        <v>175</v>
      </c>
      <c r="G55" s="2">
        <f xml:space="preserve"> ((F55 - $F$64)/($F$63 - $F$64))*100</f>
        <v>49.43181818181818</v>
      </c>
      <c r="H55" s="2" t="b">
        <f>D55&lt;=F55</f>
        <v>1</v>
      </c>
      <c r="I55" s="44">
        <f>VLOOKUP(B55,Uni_TU_Lkp,6,FALSE)</f>
        <v>57.7</v>
      </c>
      <c r="J55" s="44">
        <f>VLOOKUP(B55,Uni_TU_Lkp,7,FALSE)</f>
        <v>58</v>
      </c>
      <c r="K55" s="44">
        <f>VLOOKUP(B55,Uni_TU_Lkp,8,FALSE)</f>
        <v>73</v>
      </c>
      <c r="L55" s="44">
        <f>VLOOKUP(B55,Uni_TU_Lkp,9,FALSE)</f>
        <v>93.2</v>
      </c>
      <c r="M55" s="11">
        <f>VLOOKUP(B55,AI_Rank,2,FALSE)</f>
        <v>102</v>
      </c>
      <c r="N55" s="2">
        <f xml:space="preserve"> ((M55 - $M$64)/($M$63 - $M$64))*100</f>
        <v>56.111111111111114</v>
      </c>
      <c r="O55" s="11">
        <f>VLOOKUP(B55,AI_Rank,3,FALSE)</f>
        <v>3.3</v>
      </c>
      <c r="P55" s="11">
        <f xml:space="preserve"> ((O55 - $O$64)/($O$63 - $O$64)) * 100</f>
        <v>7.1274298056155514</v>
      </c>
      <c r="Q55" s="11">
        <f>VLOOKUP(B55,AI_Rank,4,FALSE)</f>
        <v>10</v>
      </c>
      <c r="R55" s="11">
        <f xml:space="preserve"> ((Q55 - $Q$64)/($Q$63 - $Q$64)) * 100</f>
        <v>11.940298507462686</v>
      </c>
      <c r="S55" s="11">
        <f>VLOOKUP(B55,Theory_Rank,2,FALSE)</f>
        <v>101</v>
      </c>
      <c r="T55" s="2">
        <f xml:space="preserve"> ((S55 - $S$64)/($S$63 - $S$64))*100</f>
        <v>52.356020942408378</v>
      </c>
      <c r="U55" s="11">
        <f>VLOOKUP(B55,Theory_Rank,3,FALSE)</f>
        <v>1.8</v>
      </c>
      <c r="V55" s="11">
        <f xml:space="preserve"> ((U55 - $U$64)/($U$63 - $U$64)) * 100</f>
        <v>14.0625</v>
      </c>
      <c r="W55" s="11">
        <f>VLOOKUP(B55,Theory_Rank,4,FALSE)</f>
        <v>2</v>
      </c>
      <c r="X55" s="11">
        <f xml:space="preserve"> ((W55 - $W$64)/($W$63 - $W$64)) * 100</f>
        <v>8.695652173913043</v>
      </c>
      <c r="Y55" s="11">
        <f>VLOOKUP(B55,Systems_Rank,2,FALSE)</f>
        <v>32</v>
      </c>
      <c r="Z55" s="2">
        <f xml:space="preserve"> ((Y55 - $Y$64)/($Y$63 - $Y$64))*100</f>
        <v>27.927927927927925</v>
      </c>
      <c r="AA55" s="11">
        <f>VLOOKUP(B55,Systems_Rank,3,FALSE)</f>
        <v>2</v>
      </c>
      <c r="AB55" s="11">
        <f xml:space="preserve"> ((AA55 - $AA$64)/($AA$63 - $AA$64)) * 100</f>
        <v>28.169014084507044</v>
      </c>
      <c r="AC55" s="11">
        <f>VLOOKUP(B55,Systems_Rank,4,FALSE)</f>
        <v>13</v>
      </c>
      <c r="AD55" s="11">
        <f xml:space="preserve"> ((AC55 - $AC$64)/($AC$63 - $AC$64)) * 100</f>
        <v>20.967741935483872</v>
      </c>
      <c r="AE55" s="11">
        <f>VLOOKUP(B55,InterD_Rank,2,FALSE)</f>
        <v>52</v>
      </c>
      <c r="AF55" s="2">
        <f xml:space="preserve"> ((AE55 - $AE$64)/($AE$63 - $AE$64))*100</f>
        <v>48.113207547169814</v>
      </c>
      <c r="AG55" s="11">
        <f>VLOOKUP(B55,InterD_Rank,3,FALSE)</f>
        <v>2</v>
      </c>
      <c r="AH55" s="11">
        <f xml:space="preserve"> ((AG55 - $AG$64)/($AG$63 - $AG$64)) * 100</f>
        <v>11.428571428571429</v>
      </c>
      <c r="AI55" s="11">
        <f>VLOOKUP(B55,InterD_Rank,4,FALSE)</f>
        <v>4</v>
      </c>
      <c r="AJ55" s="11">
        <f xml:space="preserve"> ((AI55 - $AI$64)/($AI$63 - $AI$64)) * 100</f>
        <v>6.666666666666667</v>
      </c>
      <c r="AK55" s="2">
        <f xml:space="preserve"> 0.5 * N55 + 0.2 * T55 + 0.15 * Z55 + 0.15 * AF55</f>
        <v>49.932930065301896</v>
      </c>
      <c r="AL55" s="2">
        <f>0.5*((I55+K55+L55)/3) + 0.5 * ((0.6 *((P55 + R55)/2)) + (0.2 * ((T55 + V55)/2)) + (0.1 * ((AB55 + AD55)/2)) + (0.1 * ((AH55 + AJ55)/2)))</f>
        <v>45.178551813629539</v>
      </c>
      <c r="AM55" s="2">
        <f xml:space="preserve"> 0.2 * E55 + 0.4 * G55 + 0.4 * AK55</f>
        <v>43.576634265440461</v>
      </c>
    </row>
    <row r="56" spans="1:39" x14ac:dyDescent="0.25">
      <c r="A56" s="14">
        <f>A55+1</f>
        <v>21</v>
      </c>
      <c r="B56" s="2" t="s">
        <v>409</v>
      </c>
      <c r="C56" s="2">
        <f>RANK(AM56,$AM$3:$AM$60,1)</f>
        <v>49</v>
      </c>
      <c r="D56" s="11">
        <v>156</v>
      </c>
      <c r="E56" s="2">
        <f xml:space="preserve"> ((D56 - $D$64)/($D$63 - $D$64))*100</f>
        <v>34.521158129175944</v>
      </c>
      <c r="F56" s="11">
        <v>175</v>
      </c>
      <c r="G56" s="2">
        <f xml:space="preserve"> ((F56 - $F$64)/($F$63 - $F$64))*100</f>
        <v>49.43181818181818</v>
      </c>
      <c r="H56" s="2" t="b">
        <f>D56&lt;=F56</f>
        <v>1</v>
      </c>
      <c r="I56" s="44">
        <f>VLOOKUP(B56,Uni_TU_Lkp,6,FALSE)</f>
        <v>52.2</v>
      </c>
      <c r="J56" s="44">
        <f>VLOOKUP(B56,Uni_TU_Lkp,7,FALSE)</f>
        <v>58.1</v>
      </c>
      <c r="K56" s="44">
        <f>VLOOKUP(B56,Uni_TU_Lkp,8,FALSE)</f>
        <v>81.400000000000006</v>
      </c>
      <c r="L56" s="44">
        <f>VLOOKUP(B56,Uni_TU_Lkp,9,FALSE)</f>
        <v>91.8</v>
      </c>
      <c r="M56" s="11">
        <f>VLOOKUP(B56,AI_Rank,2,FALSE)</f>
        <v>97</v>
      </c>
      <c r="N56" s="2">
        <f xml:space="preserve"> ((M56 - $M$64)/($M$63 - $M$64))*100</f>
        <v>53.333333333333336</v>
      </c>
      <c r="O56" s="11">
        <f>VLOOKUP(B56,AI_Rank,3,FALSE)</f>
        <v>3.5</v>
      </c>
      <c r="P56" s="11">
        <f xml:space="preserve"> ((O56 - $O$64)/($O$63 - $O$64)) * 100</f>
        <v>7.5593952483801292</v>
      </c>
      <c r="Q56" s="11">
        <f>VLOOKUP(B56,AI_Rank,4,FALSE)</f>
        <v>15</v>
      </c>
      <c r="R56" s="11">
        <f xml:space="preserve"> ((Q56 - $Q$64)/($Q$63 - $Q$64)) * 100</f>
        <v>19.402985074626866</v>
      </c>
      <c r="S56" s="11">
        <f>VLOOKUP(B56,Theory_Rank,2,FALSE)</f>
        <v>166</v>
      </c>
      <c r="T56" s="2">
        <f xml:space="preserve"> ((S56 - $S$64)/($S$63 - $S$64))*100</f>
        <v>86.387434554973822</v>
      </c>
      <c r="U56" s="11">
        <f>VLOOKUP(B56,Theory_Rank,3,FALSE)</f>
        <v>1.1000000000000001</v>
      </c>
      <c r="V56" s="11">
        <f xml:space="preserve"> ((U56 - $U$64)/($U$63 - $U$64)) * 100</f>
        <v>8.59375</v>
      </c>
      <c r="W56" s="11">
        <f>VLOOKUP(B56,Theory_Rank,4,FALSE)</f>
        <v>1</v>
      </c>
      <c r="X56" s="11">
        <f xml:space="preserve"> ((W56 - $W$64)/($W$63 - $W$64)) * 100</f>
        <v>4.3478260869565215</v>
      </c>
      <c r="Y56" s="11">
        <f>VLOOKUP(B56,Systems_Rank,2,FALSE)</f>
        <v>35</v>
      </c>
      <c r="Z56" s="2">
        <f xml:space="preserve"> ((Y56 - $Y$64)/($Y$63 - $Y$64))*100</f>
        <v>30.630630630630627</v>
      </c>
      <c r="AA56" s="11">
        <f>VLOOKUP(B56,Systems_Rank,3,FALSE)</f>
        <v>1.9</v>
      </c>
      <c r="AB56" s="11">
        <f xml:space="preserve"> ((AA56 - $AA$64)/($AA$63 - $AA$64)) * 100</f>
        <v>26.760563380281688</v>
      </c>
      <c r="AC56" s="11">
        <f>VLOOKUP(B56,Systems_Rank,4,FALSE)</f>
        <v>15</v>
      </c>
      <c r="AD56" s="11">
        <f xml:space="preserve"> ((AC56 - $AC$64)/($AC$63 - $AC$64)) * 100</f>
        <v>24.193548387096776</v>
      </c>
      <c r="AE56" s="11">
        <f>VLOOKUP(B56,InterD_Rank,2,FALSE)</f>
        <v>8</v>
      </c>
      <c r="AF56" s="2">
        <f xml:space="preserve"> ((AE56 - $AE$64)/($AE$63 - $AE$64))*100</f>
        <v>6.6037735849056602</v>
      </c>
      <c r="AG56" s="11">
        <f>VLOOKUP(B56,InterD_Rank,3,FALSE)</f>
        <v>8.3000000000000007</v>
      </c>
      <c r="AH56" s="11">
        <f xml:space="preserve"> ((AG56 - $AG$64)/($AG$63 - $AG$64)) * 100</f>
        <v>47.428571428571431</v>
      </c>
      <c r="AI56" s="11">
        <f>VLOOKUP(B56,InterD_Rank,4,FALSE)</f>
        <v>16</v>
      </c>
      <c r="AJ56" s="11">
        <f xml:space="preserve"> ((AI56 - $AI$64)/($AI$63 - $AI$64)) * 100</f>
        <v>26.666666666666668</v>
      </c>
      <c r="AK56" s="2">
        <f xml:space="preserve"> 0.5 * N56 + 0.2 * T56 + 0.15 * Z56 + 0.15 * AF56</f>
        <v>49.529314209991874</v>
      </c>
      <c r="AL56" s="2">
        <f>0.5*((I56+K56+L56)/3) + 0.5 * ((0.6 *((P56 + R56)/2)) + (0.2 * ((T56 + V56)/2)) + (0.1 * ((AB56 + AD56)/2)) + (0.1 * ((AH56 + AJ56)/2)))</f>
        <v>49.486316689431824</v>
      </c>
      <c r="AM56" s="2">
        <f xml:space="preserve"> 0.2 * E56 + 0.4 * G56 + 0.4 * AK56</f>
        <v>46.488684582559216</v>
      </c>
    </row>
    <row r="57" spans="1:39" x14ac:dyDescent="0.25">
      <c r="A57" s="14">
        <f>A56+1</f>
        <v>22</v>
      </c>
      <c r="B57" s="2" t="s">
        <v>114</v>
      </c>
      <c r="C57" s="2">
        <f>RANK(AM57,$AM$3:$AM$60,1)</f>
        <v>52</v>
      </c>
      <c r="D57" s="2">
        <v>141</v>
      </c>
      <c r="E57" s="2">
        <f xml:space="preserve"> ((D57 - $D$64)/($D$63 - $D$64))*100</f>
        <v>31.180400890868597</v>
      </c>
      <c r="F57" s="2">
        <v>175</v>
      </c>
      <c r="G57" s="2">
        <f xml:space="preserve"> ((F57 - $F$64)/($F$63 - $F$64))*100</f>
        <v>49.43181818181818</v>
      </c>
      <c r="H57" s="2" t="b">
        <f>D57&lt;=F57</f>
        <v>1</v>
      </c>
      <c r="I57" s="44">
        <f>VLOOKUP(B57,Uni_TU_Lkp,6,FALSE)</f>
        <v>53.3</v>
      </c>
      <c r="J57" s="44">
        <f>VLOOKUP(B57,Uni_TU_Lkp,7,FALSE)</f>
        <v>65.5</v>
      </c>
      <c r="K57" s="44">
        <f>VLOOKUP(B57,Uni_TU_Lkp,8,FALSE)</f>
        <v>73.400000000000006</v>
      </c>
      <c r="L57" s="44">
        <f>VLOOKUP(B57,Uni_TU_Lkp,9,FALSE)</f>
        <v>90.9</v>
      </c>
      <c r="M57" s="11">
        <f>VLOOKUP(B57,AI_Rank,2,FALSE)</f>
        <v>83</v>
      </c>
      <c r="N57" s="2">
        <f xml:space="preserve"> ((M57 - $M$64)/($M$63 - $M$64))*100</f>
        <v>45.555555555555557</v>
      </c>
      <c r="O57" s="11">
        <f>VLOOKUP(B57,AI_Rank,3,FALSE)</f>
        <v>4.2</v>
      </c>
      <c r="P57" s="11">
        <f xml:space="preserve"> ((O57 - $O$64)/($O$63 - $O$64)) * 100</f>
        <v>9.0712742980561565</v>
      </c>
      <c r="Q57" s="11">
        <f>VLOOKUP(B57,AI_Rank,4,FALSE)</f>
        <v>8</v>
      </c>
      <c r="R57" s="11">
        <f xml:space="preserve"> ((Q57 - $Q$64)/($Q$63 - $Q$64)) * 100</f>
        <v>8.9552238805970141</v>
      </c>
      <c r="S57" s="11">
        <f>VLOOKUP(B57,Theory_Rank,2,FALSE)</f>
        <v>148</v>
      </c>
      <c r="T57" s="2">
        <f xml:space="preserve"> ((S57 - $S$64)/($S$63 - $S$64))*100</f>
        <v>76.96335078534031</v>
      </c>
      <c r="U57" s="11">
        <f>VLOOKUP(B57,Theory_Rank,3,FALSE)</f>
        <v>1.2</v>
      </c>
      <c r="V57" s="11">
        <f xml:space="preserve"> ((U57 - $U$64)/($U$63 - $U$64)) * 100</f>
        <v>9.3749999999999982</v>
      </c>
      <c r="W57" s="11">
        <f>VLOOKUP(B57,Theory_Rank,4,FALSE)</f>
        <v>2</v>
      </c>
      <c r="X57" s="11">
        <f xml:space="preserve"> ((W57 - $W$64)/($W$63 - $W$64)) * 100</f>
        <v>8.695652173913043</v>
      </c>
      <c r="Y57" s="11">
        <f>VLOOKUP(B57,Systems_Rank,2,FALSE)</f>
        <v>96</v>
      </c>
      <c r="Z57" s="2">
        <f xml:space="preserve"> ((Y57 - $Y$64)/($Y$63 - $Y$64))*100</f>
        <v>85.585585585585591</v>
      </c>
      <c r="AA57" s="11">
        <f>VLOOKUP(B57,Systems_Rank,3,FALSE)</f>
        <v>1.1000000000000001</v>
      </c>
      <c r="AB57" s="11">
        <f xml:space="preserve"> ((AA57 - $AA$64)/($AA$63 - $AA$64)) * 100</f>
        <v>15.492957746478876</v>
      </c>
      <c r="AC57" s="11">
        <f>VLOOKUP(B57,Systems_Rank,4,FALSE)</f>
        <v>3</v>
      </c>
      <c r="AD57" s="11">
        <f xml:space="preserve"> ((AC57 - $AC$64)/($AC$63 - $AC$64)) * 100</f>
        <v>4.838709677419355</v>
      </c>
      <c r="AE57" s="11">
        <f>VLOOKUP(B57,InterD_Rank,2,FALSE)</f>
        <v>58</v>
      </c>
      <c r="AF57" s="2">
        <f xml:space="preserve"> ((AE57 - $AE$64)/($AE$63 - $AE$64))*100</f>
        <v>53.773584905660378</v>
      </c>
      <c r="AG57" s="11">
        <f>VLOOKUP(B57,InterD_Rank,3,FALSE)</f>
        <v>1.9</v>
      </c>
      <c r="AH57" s="11">
        <f xml:space="preserve"> ((AG57 - $AG$64)/($AG$63 - $AG$64)) * 100</f>
        <v>10.857142857142858</v>
      </c>
      <c r="AI57" s="11">
        <f>VLOOKUP(B57,InterD_Rank,4,FALSE)</f>
        <v>6</v>
      </c>
      <c r="AJ57" s="11">
        <f xml:space="preserve"> ((AI57 - $AI$64)/($AI$63 - $AI$64)) * 100</f>
        <v>10</v>
      </c>
      <c r="AK57" s="2">
        <f xml:space="preserve"> 0.5 * N57 + 0.2 * T57 + 0.15 * Z57 + 0.15 * AF57</f>
        <v>59.074323508532736</v>
      </c>
      <c r="AL57" s="2">
        <f>0.5*((I57+K57+L57)/3) + 0.5 * ((0.6 *((P57 + R57)/2)) + (0.2 * ((T57 + V57)/2)) + (0.1 * ((AB57 + AD57)/2)) + (0.1 * ((AH57 + AJ57)/2)))</f>
        <v>44.317279189757691</v>
      </c>
      <c r="AM57" s="2">
        <f xml:space="preserve"> 0.2 * E57 + 0.4 * G57 + 0.4 * AK57</f>
        <v>49.638536854314083</v>
      </c>
    </row>
    <row r="58" spans="1:39" x14ac:dyDescent="0.25">
      <c r="A58" s="14">
        <f>A57+1</f>
        <v>23</v>
      </c>
      <c r="B58" s="2" t="s">
        <v>52</v>
      </c>
      <c r="C58" s="2">
        <f>RANK(AM58,$AM$3:$AM$60,1)</f>
        <v>53</v>
      </c>
      <c r="D58" s="2">
        <v>35</v>
      </c>
      <c r="E58" s="2">
        <f xml:space="preserve"> ((D58 - $D$64)/($D$63 - $D$64))*100</f>
        <v>7.5723830734966597</v>
      </c>
      <c r="F58" s="2">
        <v>75</v>
      </c>
      <c r="G58" s="2">
        <f xml:space="preserve"> ((F58 - $F$64)/($F$63 - $F$64))*100</f>
        <v>21.022727272727273</v>
      </c>
      <c r="H58" s="2" t="b">
        <f>D58&lt;=F58</f>
        <v>1</v>
      </c>
      <c r="I58" s="44">
        <f>VLOOKUP(B58,Uni_TU_Lkp,6,FALSE)</f>
        <v>64</v>
      </c>
      <c r="J58" s="44">
        <f>VLOOKUP(B58,Uni_TU_Lkp,7,FALSE)</f>
        <v>80.7</v>
      </c>
      <c r="K58" s="44">
        <f>VLOOKUP(B58,Uni_TU_Lkp,8,FALSE)</f>
        <v>64.599999999999994</v>
      </c>
      <c r="L58" s="44">
        <f>VLOOKUP(B58,Uni_TU_Lkp,9,FALSE)</f>
        <v>74.7</v>
      </c>
      <c r="M58" s="11">
        <v>181</v>
      </c>
      <c r="N58" s="2">
        <f xml:space="preserve"> ((M58 - $M$64)/($M$63 - $M$64))*100</f>
        <v>100</v>
      </c>
      <c r="O58" s="11">
        <v>0</v>
      </c>
      <c r="P58" s="11">
        <f xml:space="preserve"> ((O58 - $O$64)/($O$63 - $O$64)) * 100</f>
        <v>0</v>
      </c>
      <c r="Q58" s="11">
        <v>2</v>
      </c>
      <c r="R58" s="11">
        <f xml:space="preserve"> ((Q58 - $Q$64)/($Q$63 - $Q$64)) * 100</f>
        <v>0</v>
      </c>
      <c r="S58" s="11">
        <v>192</v>
      </c>
      <c r="T58" s="2">
        <f xml:space="preserve"> ((S58 - $S$64)/($S$63 - $S$64))*100</f>
        <v>100</v>
      </c>
      <c r="U58" s="11">
        <v>0</v>
      </c>
      <c r="V58" s="11">
        <f xml:space="preserve"> ((U58 - $U$64)/($U$63 - $U$64)) * 100</f>
        <v>0</v>
      </c>
      <c r="W58" s="11">
        <v>0</v>
      </c>
      <c r="X58" s="11">
        <f xml:space="preserve"> ((W58 - $W$64)/($W$63 - $W$64)) * 100</f>
        <v>0</v>
      </c>
      <c r="Y58" s="11">
        <v>112</v>
      </c>
      <c r="Z58" s="2">
        <f xml:space="preserve"> ((Y58 - $Y$64)/($Y$63 - $Y$64))*100</f>
        <v>100</v>
      </c>
      <c r="AA58" s="11">
        <v>0</v>
      </c>
      <c r="AB58" s="11">
        <f xml:space="preserve"> ((AA58 - $AA$64)/($AA$63 - $AA$64)) * 100</f>
        <v>0</v>
      </c>
      <c r="AC58" s="11">
        <v>0</v>
      </c>
      <c r="AD58" s="11">
        <f xml:space="preserve"> ((AC58 - $AC$64)/($AC$63 - $AC$64)) * 100</f>
        <v>0</v>
      </c>
      <c r="AE58" s="11">
        <v>107</v>
      </c>
      <c r="AF58" s="2">
        <f xml:space="preserve"> ((AE58 - $AE$64)/($AE$63 - $AE$64))*100</f>
        <v>100</v>
      </c>
      <c r="AG58" s="11">
        <v>0</v>
      </c>
      <c r="AH58" s="11">
        <f xml:space="preserve"> ((AG58 - $AG$64)/($AG$63 - $AG$64)) * 100</f>
        <v>0</v>
      </c>
      <c r="AI58" s="11">
        <v>0</v>
      </c>
      <c r="AJ58" s="11">
        <f xml:space="preserve"> ((AI58 - $AI$64)/($AI$63 - $AI$64)) * 100</f>
        <v>0</v>
      </c>
      <c r="AK58" s="2">
        <f xml:space="preserve"> 0.5 * N58 + 0.2 * T58 + 0.15 * Z58 + 0.15 * AF58</f>
        <v>100</v>
      </c>
      <c r="AL58" s="2">
        <f>0.5*((I58+K58+L58)/3) + 0.5 * ((0.6 *((P58 + R58)/2)) + (0.2 * ((T58 + V58)/2)) + (0.1 * ((AB58 + AD58)/2)) + (0.1 * ((AH58 + AJ58)/2)))</f>
        <v>38.883333333333333</v>
      </c>
      <c r="AM58" s="2">
        <f xml:space="preserve"> 0.2 * E58 + 0.4 * G58 + 0.4 * AK58</f>
        <v>49.92356752379024</v>
      </c>
    </row>
    <row r="59" spans="1:39" x14ac:dyDescent="0.25">
      <c r="A59" s="14">
        <f>A58+1</f>
        <v>24</v>
      </c>
      <c r="B59" s="2" t="s">
        <v>51</v>
      </c>
      <c r="C59" s="2">
        <f>RANK(AM59,$AM$3:$AM$60,1)</f>
        <v>54</v>
      </c>
      <c r="D59" s="2">
        <v>58</v>
      </c>
      <c r="E59" s="2">
        <f xml:space="preserve"> ((D59 - $D$64)/($D$63 - $D$64))*100</f>
        <v>12.694877505567929</v>
      </c>
      <c r="F59" s="2">
        <v>75</v>
      </c>
      <c r="G59" s="2">
        <f xml:space="preserve"> ((F59 - $F$64)/($F$63 - $F$64))*100</f>
        <v>21.022727272727273</v>
      </c>
      <c r="H59" s="2" t="b">
        <f>D59&lt;=F59</f>
        <v>1</v>
      </c>
      <c r="I59" s="44">
        <f>VLOOKUP(B59,Uni_TU_Lkp,6,FALSE)</f>
        <v>63.3</v>
      </c>
      <c r="J59" s="44">
        <f>VLOOKUP(B59,Uni_TU_Lkp,7,FALSE)</f>
        <v>78.7</v>
      </c>
      <c r="K59" s="44">
        <f>VLOOKUP(B59,Uni_TU_Lkp,8,FALSE)</f>
        <v>64.099999999999994</v>
      </c>
      <c r="L59" s="44">
        <f>VLOOKUP(B59,Uni_TU_Lkp,9,FALSE)</f>
        <v>74.400000000000006</v>
      </c>
      <c r="M59" s="11">
        <v>181</v>
      </c>
      <c r="N59" s="2">
        <f xml:space="preserve"> ((M59 - $M$64)/($M$63 - $M$64))*100</f>
        <v>100</v>
      </c>
      <c r="O59" s="11">
        <v>0</v>
      </c>
      <c r="P59" s="11">
        <f xml:space="preserve"> ((O59 - $O$64)/($O$63 - $O$64)) * 100</f>
        <v>0</v>
      </c>
      <c r="Q59" s="11">
        <v>2</v>
      </c>
      <c r="R59" s="11">
        <f xml:space="preserve"> ((Q59 - $Q$64)/($Q$63 - $Q$64)) * 100</f>
        <v>0</v>
      </c>
      <c r="S59" s="11">
        <v>192</v>
      </c>
      <c r="T59" s="2">
        <f xml:space="preserve"> ((S59 - $S$64)/($S$63 - $S$64))*100</f>
        <v>100</v>
      </c>
      <c r="U59" s="11">
        <v>0</v>
      </c>
      <c r="V59" s="11">
        <f xml:space="preserve"> ((U59 - $U$64)/($U$63 - $U$64)) * 100</f>
        <v>0</v>
      </c>
      <c r="W59" s="11">
        <v>0</v>
      </c>
      <c r="X59" s="11">
        <f xml:space="preserve"> ((W59 - $W$64)/($W$63 - $W$64)) * 100</f>
        <v>0</v>
      </c>
      <c r="Y59" s="11">
        <v>112</v>
      </c>
      <c r="Z59" s="2">
        <f xml:space="preserve"> ((Y59 - $Y$64)/($Y$63 - $Y$64))*100</f>
        <v>100</v>
      </c>
      <c r="AA59" s="11">
        <v>0</v>
      </c>
      <c r="AB59" s="11">
        <f xml:space="preserve"> ((AA59 - $AA$64)/($AA$63 - $AA$64)) * 100</f>
        <v>0</v>
      </c>
      <c r="AC59" s="11">
        <v>0</v>
      </c>
      <c r="AD59" s="11">
        <f xml:space="preserve"> ((AC59 - $AC$64)/($AC$63 - $AC$64)) * 100</f>
        <v>0</v>
      </c>
      <c r="AE59" s="11">
        <v>107</v>
      </c>
      <c r="AF59" s="2">
        <f xml:space="preserve"> ((AE59 - $AE$64)/($AE$63 - $AE$64))*100</f>
        <v>100</v>
      </c>
      <c r="AG59" s="11">
        <v>0</v>
      </c>
      <c r="AH59" s="11">
        <f xml:space="preserve"> ((AG59 - $AG$64)/($AG$63 - $AG$64)) * 100</f>
        <v>0</v>
      </c>
      <c r="AI59" s="11">
        <v>0</v>
      </c>
      <c r="AJ59" s="11">
        <f xml:space="preserve"> ((AI59 - $AI$64)/($AI$63 - $AI$64)) * 100</f>
        <v>0</v>
      </c>
      <c r="AK59" s="2">
        <f xml:space="preserve"> 0.5 * N59 + 0.2 * T59 + 0.15 * Z59 + 0.15 * AF59</f>
        <v>100</v>
      </c>
      <c r="AL59" s="2">
        <f>0.5*((I59+K59+L59)/3) + 0.5 * ((0.6 *((P59 + R59)/2)) + (0.2 * ((T59 + V59)/2)) + (0.1 * ((AB59 + AD59)/2)) + (0.1 * ((AH59 + AJ59)/2)))</f>
        <v>38.633333333333333</v>
      </c>
      <c r="AM59" s="2">
        <f xml:space="preserve"> 0.2 * E59 + 0.4 * G59 + 0.4 * AK59</f>
        <v>50.948066410204497</v>
      </c>
    </row>
    <row r="60" spans="1:39" x14ac:dyDescent="0.25">
      <c r="A60" s="14">
        <f>A59+1</f>
        <v>25</v>
      </c>
      <c r="B60" s="2" t="s">
        <v>32</v>
      </c>
      <c r="C60" s="2">
        <f>RANK(AM60,$AM$3:$AM$60,1)</f>
        <v>56</v>
      </c>
      <c r="D60" s="2">
        <v>180</v>
      </c>
      <c r="E60" s="2">
        <f xml:space="preserve"> ((D60 - $D$64)/($D$63 - $D$64))*100</f>
        <v>39.866369710467708</v>
      </c>
      <c r="F60" s="2">
        <v>225</v>
      </c>
      <c r="G60" s="2">
        <f xml:space="preserve"> ((F60 - $F$64)/($F$63 - $F$64))*100</f>
        <v>63.636363636363633</v>
      </c>
      <c r="H60" s="2" t="b">
        <f>D60&lt;=F60</f>
        <v>1</v>
      </c>
      <c r="I60" s="44">
        <f>VLOOKUP(B60,Uni_TU_Lkp,6,FALSE)</f>
        <v>49.4</v>
      </c>
      <c r="J60" s="44">
        <f>VLOOKUP(B60,Uni_TU_Lkp,7,FALSE)</f>
        <v>60.8</v>
      </c>
      <c r="K60" s="44">
        <f>VLOOKUP(B60,Uni_TU_Lkp,8,FALSE)</f>
        <v>74.5</v>
      </c>
      <c r="L60" s="44">
        <f>VLOOKUP(B60,Uni_TU_Lkp,9,FALSE)</f>
        <v>88.4</v>
      </c>
      <c r="M60" s="11">
        <f>VLOOKUP(B60,AI_Rank,2,FALSE)</f>
        <v>153</v>
      </c>
      <c r="N60" s="2">
        <f xml:space="preserve"> ((M60 - $M$64)/($M$63 - $M$64))*100</f>
        <v>84.444444444444443</v>
      </c>
      <c r="O60" s="11">
        <f>VLOOKUP(B60,AI_Rank,3,FALSE)</f>
        <v>2.1</v>
      </c>
      <c r="P60" s="11">
        <f xml:space="preserve"> ((O60 - $O$64)/($O$63 - $O$64)) * 100</f>
        <v>4.5356371490280782</v>
      </c>
      <c r="Q60" s="11">
        <f>VLOOKUP(B60,AI_Rank,4,FALSE)</f>
        <v>8</v>
      </c>
      <c r="R60" s="11">
        <f xml:space="preserve"> ((Q60 - $Q$64)/($Q$63 - $Q$64)) * 100</f>
        <v>8.9552238805970141</v>
      </c>
      <c r="S60" s="11">
        <f>VLOOKUP(B60,Theory_Rank,2,FALSE)</f>
        <v>126</v>
      </c>
      <c r="T60" s="2">
        <f xml:space="preserve"> ((S60 - $S$64)/($S$63 - $S$64))*100</f>
        <v>65.445026178010465</v>
      </c>
      <c r="U60" s="11">
        <f>VLOOKUP(B60,Theory_Rank,3,FALSE)</f>
        <v>1.4</v>
      </c>
      <c r="V60" s="11">
        <f xml:space="preserve"> ((U60 - $U$64)/($U$63 - $U$64)) * 100</f>
        <v>10.937499999999998</v>
      </c>
      <c r="W60" s="11">
        <f>VLOOKUP(B60,Theory_Rank,4,FALSE)</f>
        <v>1</v>
      </c>
      <c r="X60" s="11">
        <f xml:space="preserve"> ((W60 - $W$64)/($W$63 - $W$64)) * 100</f>
        <v>4.3478260869565215</v>
      </c>
      <c r="Y60" s="11">
        <f>VLOOKUP(B60,Systems_Rank,2,FALSE)</f>
        <v>59</v>
      </c>
      <c r="Z60" s="2">
        <f xml:space="preserve"> ((Y60 - $Y$64)/($Y$63 - $Y$64))*100</f>
        <v>52.252252252252248</v>
      </c>
      <c r="AA60" s="11">
        <f>VLOOKUP(B60,Systems_Rank,3,FALSE)</f>
        <v>1.4</v>
      </c>
      <c r="AB60" s="11">
        <f xml:space="preserve"> ((AA60 - $AA$64)/($AA$63 - $AA$64)) * 100</f>
        <v>19.718309859154928</v>
      </c>
      <c r="AC60" s="11">
        <f>VLOOKUP(B60,Systems_Rank,4,FALSE)</f>
        <v>8</v>
      </c>
      <c r="AD60" s="11">
        <f xml:space="preserve"> ((AC60 - $AC$64)/($AC$63 - $AC$64)) * 100</f>
        <v>12.903225806451612</v>
      </c>
      <c r="AE60" s="11">
        <f>VLOOKUP(B60,InterD_Rank,2,FALSE)</f>
        <v>58</v>
      </c>
      <c r="AF60" s="2">
        <f xml:space="preserve"> ((AE60 - $AE$64)/($AE$63 - $AE$64))*100</f>
        <v>53.773584905660378</v>
      </c>
      <c r="AG60" s="11">
        <f>VLOOKUP(B60,InterD_Rank,3,FALSE)</f>
        <v>1.9</v>
      </c>
      <c r="AH60" s="11">
        <f xml:space="preserve"> ((AG60 - $AG$64)/($AG$63 - $AG$64)) * 100</f>
        <v>10.857142857142858</v>
      </c>
      <c r="AI60" s="11">
        <f>VLOOKUP(B60,InterD_Rank,4,FALSE)</f>
        <v>5</v>
      </c>
      <c r="AJ60" s="11">
        <f xml:space="preserve"> ((AI60 - $AI$64)/($AI$63 - $AI$64)) * 100</f>
        <v>8.3333333333333321</v>
      </c>
      <c r="AK60" s="2">
        <f xml:space="preserve"> 0.5 * N60 + 0.2 * T60 + 0.15 * Z60 + 0.15 * AF60</f>
        <v>71.215103031511205</v>
      </c>
      <c r="AL60" s="2">
        <f>0.5*((I60+K60+L60)/3) + 0.5 * ((0.6 *((P60 + R60)/2)) + (0.2 * ((T60 + V60)/2)) + (0.1 * ((AB60 + AD60)/2)) + (0.1 * ((AH60 + AJ60)/2)))</f>
        <v>42.521389093079691</v>
      </c>
      <c r="AM60" s="2">
        <f xml:space="preserve"> 0.2 * E60 + 0.4 * G60 + 0.4 * AK60</f>
        <v>61.913860609243478</v>
      </c>
    </row>
    <row r="61" spans="1:39" x14ac:dyDescent="0.25">
      <c r="A61" s="42" t="s">
        <v>396</v>
      </c>
      <c r="B61" s="42" t="s">
        <v>639</v>
      </c>
      <c r="C61" s="42"/>
      <c r="D61" s="42">
        <f>AVERAGE(D3:D60)</f>
        <v>82.275862068965523</v>
      </c>
      <c r="E61" s="42"/>
      <c r="F61" s="42">
        <f>AVERAGE(F3:F60)</f>
        <v>79.672413793103445</v>
      </c>
      <c r="G61" s="42"/>
      <c r="H61" s="42"/>
      <c r="I61" s="42">
        <f>AVERAGE(I3:I60)</f>
        <v>67.775588836498571</v>
      </c>
      <c r="J61" s="42">
        <f>AVERAGE(J3:J60)</f>
        <v>73.814667187558243</v>
      </c>
      <c r="K61" s="42">
        <f>AVERAGE(K3:K60)</f>
        <v>81.145376446447088</v>
      </c>
      <c r="L61" s="42">
        <f>AVERAGE(L3:L60)</f>
        <v>90.9109674949989</v>
      </c>
      <c r="M61" s="42">
        <f>AVERAGE(M3:M60)</f>
        <v>61.775862068965516</v>
      </c>
      <c r="N61" s="42"/>
      <c r="O61" s="42">
        <f>AVERAGE(O3:O60)</f>
        <v>7.7034482758620708</v>
      </c>
      <c r="P61" s="42"/>
      <c r="Q61" s="42">
        <f>AVERAGE(Q3:Q60)</f>
        <v>18.551724137931036</v>
      </c>
      <c r="R61" s="42"/>
      <c r="S61" s="42">
        <f>AVERAGE(S3:S60)</f>
        <v>68.396551724137936</v>
      </c>
      <c r="T61" s="42"/>
      <c r="U61" s="42">
        <f>AVERAGE(U3:U60)</f>
        <v>3.8280701754385968</v>
      </c>
      <c r="V61" s="42"/>
      <c r="W61" s="42">
        <f>AVERAGE(W3:W60)</f>
        <v>7.0877192982456139</v>
      </c>
      <c r="X61" s="42"/>
      <c r="Y61" s="42">
        <f>AVERAGE(Y3:Y60)</f>
        <v>45.53448275862069</v>
      </c>
      <c r="Z61" s="42"/>
      <c r="AA61" s="42">
        <f>AVERAGE(AA3:AA60)</f>
        <v>2.3155172413793106</v>
      </c>
      <c r="AB61" s="42"/>
      <c r="AC61" s="42">
        <f>AVERAGE(AC3:AC60)</f>
        <v>16.46551724137931</v>
      </c>
      <c r="AD61" s="42"/>
      <c r="AE61" s="42">
        <f>AVERAGE(AE3:AE60)</f>
        <v>50.672413793103445</v>
      </c>
      <c r="AF61" s="42"/>
      <c r="AG61" s="42">
        <f>AVERAGE(AG3:AG60)</f>
        <v>3.8122807017543865</v>
      </c>
      <c r="AH61" s="42"/>
      <c r="AI61" s="42">
        <f>AVERAGE(AI3:AI60)</f>
        <v>8.7894736842105257</v>
      </c>
      <c r="AJ61" s="42"/>
      <c r="AK61" s="42"/>
      <c r="AL61" s="42"/>
      <c r="AM61" s="42"/>
    </row>
    <row r="62" spans="1:39" x14ac:dyDescent="0.25">
      <c r="A62" s="42" t="s">
        <v>396</v>
      </c>
      <c r="B62" s="42" t="s">
        <v>640</v>
      </c>
      <c r="C62" s="42"/>
      <c r="D62" s="42">
        <f>_xlfn.STDEV.P(D3:D60)</f>
        <v>92.48146004385444</v>
      </c>
      <c r="E62" s="42"/>
      <c r="F62" s="42">
        <f>_xlfn.STDEV.P(F3:F60)</f>
        <v>77.992127792629674</v>
      </c>
      <c r="G62" s="42"/>
      <c r="H62" s="42"/>
      <c r="I62" s="42">
        <f>_xlfn.STDEV.P(I3:I60)</f>
        <v>13.332275611507729</v>
      </c>
      <c r="J62" s="42">
        <f>_xlfn.STDEV.P(J3:J60)</f>
        <v>12.418869227503473</v>
      </c>
      <c r="K62" s="42">
        <f>_xlfn.STDEV.P(K3:K60)</f>
        <v>8.6783058524852166</v>
      </c>
      <c r="L62" s="42">
        <f>_xlfn.STDEV.P(L3:L60)</f>
        <v>5.7468361511685808</v>
      </c>
      <c r="M62" s="42">
        <f>_xlfn.STDEV.P(M3:M60)</f>
        <v>46.523276748626067</v>
      </c>
      <c r="N62" s="42"/>
      <c r="O62" s="42">
        <f>_xlfn.STDEV.P(O3:O60)</f>
        <v>6.9139031722255693</v>
      </c>
      <c r="P62" s="42"/>
      <c r="Q62" s="42">
        <f>_xlfn.STDEV.P(Q3:Q60)</f>
        <v>11.543280496182845</v>
      </c>
      <c r="R62" s="42"/>
      <c r="S62" s="42">
        <f>_xlfn.STDEV.P(S3:S60)</f>
        <v>57.4699140645969</v>
      </c>
      <c r="T62" s="42"/>
      <c r="U62" s="42">
        <f>_xlfn.STDEV.P(U3:U60)</f>
        <v>2.8457881704134085</v>
      </c>
      <c r="V62" s="42"/>
      <c r="W62" s="42">
        <f>_xlfn.STDEV.P(W3:W60)</f>
        <v>5.4556608352496312</v>
      </c>
      <c r="X62" s="42"/>
      <c r="Y62" s="42">
        <f>_xlfn.STDEV.P(Y3:Y60)</f>
        <v>38.765971354749887</v>
      </c>
      <c r="Z62" s="42"/>
      <c r="AA62" s="42">
        <f>_xlfn.STDEV.P(AA3:AA60)</f>
        <v>1.7681864588190381</v>
      </c>
      <c r="AB62" s="42"/>
      <c r="AC62" s="42">
        <f>_xlfn.STDEV.P(AC3:AC60)</f>
        <v>13.336772495417708</v>
      </c>
      <c r="AD62" s="42"/>
      <c r="AE62" s="42">
        <f>_xlfn.STDEV.P(AE3:AE60)</f>
        <v>37.070012014097422</v>
      </c>
      <c r="AF62" s="42"/>
      <c r="AG62" s="42">
        <f>_xlfn.STDEV.P(AG3:AG60)</f>
        <v>4.1597937775908695</v>
      </c>
      <c r="AH62" s="42"/>
      <c r="AI62" s="42">
        <f>_xlfn.STDEV.P(AI3:AI60)</f>
        <v>10.279833506238033</v>
      </c>
      <c r="AJ62" s="42"/>
      <c r="AK62" s="42"/>
      <c r="AL62" s="42"/>
      <c r="AM62" s="42"/>
    </row>
    <row r="63" spans="1:39" x14ac:dyDescent="0.25">
      <c r="A63" s="42" t="s">
        <v>396</v>
      </c>
      <c r="B63" s="42" t="s">
        <v>641</v>
      </c>
      <c r="C63" s="42"/>
      <c r="D63" s="42">
        <f>MAX(D3:D60)</f>
        <v>450</v>
      </c>
      <c r="E63" s="42"/>
      <c r="F63" s="42">
        <f>MAX(F3:F60)</f>
        <v>353</v>
      </c>
      <c r="G63" s="42"/>
      <c r="H63" s="42"/>
      <c r="I63" s="42">
        <f>MAX(I3:I60)</f>
        <v>100</v>
      </c>
      <c r="J63" s="42">
        <f>MAX(J3:J60)</f>
        <v>100</v>
      </c>
      <c r="K63" s="42">
        <f>MAX(K3:K60)</f>
        <v>100</v>
      </c>
      <c r="L63" s="42">
        <f>MAX(L3:L60)</f>
        <v>100</v>
      </c>
      <c r="M63" s="42">
        <f>MAX(M3:M60)</f>
        <v>181</v>
      </c>
      <c r="N63" s="42"/>
      <c r="O63" s="42">
        <f>MAX(O3:O60)</f>
        <v>46.3</v>
      </c>
      <c r="P63" s="42"/>
      <c r="Q63" s="42">
        <f>MAX(Q3:Q60)</f>
        <v>69</v>
      </c>
      <c r="R63" s="42"/>
      <c r="S63" s="42">
        <f>MAX(S3:S60)</f>
        <v>192</v>
      </c>
      <c r="T63" s="42"/>
      <c r="U63" s="42">
        <f>MAX(U3:U60)</f>
        <v>12.8</v>
      </c>
      <c r="V63" s="42"/>
      <c r="W63" s="42">
        <f>MAX(W3:W60)</f>
        <v>23</v>
      </c>
      <c r="X63" s="42"/>
      <c r="Y63" s="42">
        <f>MAX(Y3:Y60)</f>
        <v>112</v>
      </c>
      <c r="Z63" s="42"/>
      <c r="AA63" s="42">
        <f>MAX(AA3:AA60)</f>
        <v>7.1</v>
      </c>
      <c r="AB63" s="42"/>
      <c r="AC63" s="42">
        <f>MAX(AC3:AC60)</f>
        <v>62</v>
      </c>
      <c r="AD63" s="42"/>
      <c r="AE63" s="42">
        <f>MAX(AE3:AE60)</f>
        <v>107</v>
      </c>
      <c r="AF63" s="42"/>
      <c r="AG63" s="42">
        <f>MAX(AG3:AG60)</f>
        <v>17.5</v>
      </c>
      <c r="AH63" s="42"/>
      <c r="AI63" s="42">
        <f>MAX(AI3:AI60)</f>
        <v>60</v>
      </c>
      <c r="AJ63" s="42"/>
      <c r="AK63" s="42"/>
      <c r="AL63" s="42"/>
      <c r="AM63" s="42"/>
    </row>
    <row r="64" spans="1:39" x14ac:dyDescent="0.25">
      <c r="A64" s="42" t="s">
        <v>396</v>
      </c>
      <c r="B64" s="42"/>
      <c r="C64" s="42"/>
      <c r="D64" s="42">
        <f>MIN(D3:D60)</f>
        <v>1</v>
      </c>
      <c r="E64" s="42"/>
      <c r="F64" s="42">
        <f>MIN(F3:F60)</f>
        <v>1</v>
      </c>
      <c r="G64" s="42"/>
      <c r="H64" s="42"/>
      <c r="I64" s="42">
        <f>MIN(I3:I60)</f>
        <v>30.884152516916572</v>
      </c>
      <c r="J64" s="42">
        <f>MIN(J3:J60)</f>
        <v>39.450696878377585</v>
      </c>
      <c r="K64" s="42">
        <f>MIN(K3:K60)</f>
        <v>57.131833893930533</v>
      </c>
      <c r="L64" s="42">
        <f>MIN(L3:L60)</f>
        <v>70.736114709936729</v>
      </c>
      <c r="M64" s="42">
        <f>MIN(M3:M60)</f>
        <v>1</v>
      </c>
      <c r="N64" s="42"/>
      <c r="O64" s="42">
        <f>MIN(O3:O60)</f>
        <v>0</v>
      </c>
      <c r="P64" s="42"/>
      <c r="Q64" s="42">
        <f>MIN(Q3:Q60)</f>
        <v>2</v>
      </c>
      <c r="R64" s="42"/>
      <c r="S64" s="42">
        <f>MIN(S3:S60)</f>
        <v>1</v>
      </c>
      <c r="T64" s="42"/>
      <c r="U64" s="42">
        <f>MIN(U3:U60)</f>
        <v>0</v>
      </c>
      <c r="V64" s="42"/>
      <c r="W64" s="42">
        <f>MIN(W3:W60)</f>
        <v>0</v>
      </c>
      <c r="X64" s="42"/>
      <c r="Y64" s="42">
        <f>MIN(Y3:Y60)</f>
        <v>1</v>
      </c>
      <c r="Z64" s="42"/>
      <c r="AA64" s="42">
        <f>MIN(AA3:AA60)</f>
        <v>0</v>
      </c>
      <c r="AB64" s="42"/>
      <c r="AC64" s="42">
        <f>MIN(AC3:AC60)</f>
        <v>0</v>
      </c>
      <c r="AD64" s="42"/>
      <c r="AE64" s="42">
        <f>MIN(AE3:AE60)</f>
        <v>1</v>
      </c>
      <c r="AF64" s="42"/>
      <c r="AG64" s="42">
        <f>MIN(AG3:AG60)</f>
        <v>0</v>
      </c>
      <c r="AH64" s="42"/>
      <c r="AI64" s="42">
        <f>MIN(AI3:AI60)</f>
        <v>0</v>
      </c>
      <c r="AJ64" s="42"/>
      <c r="AK64" s="42"/>
      <c r="AL64" s="42"/>
      <c r="AM64" s="42"/>
    </row>
    <row r="65" spans="1:39" x14ac:dyDescent="0.25">
      <c r="A65" s="42" t="s">
        <v>396</v>
      </c>
      <c r="B65" s="42" t="s">
        <v>642</v>
      </c>
      <c r="C65" s="42"/>
      <c r="D65" s="42"/>
      <c r="E65" s="42"/>
      <c r="F65" s="42">
        <f>F61+4*F62</f>
        <v>391.64092496362213</v>
      </c>
      <c r="G65" s="42"/>
      <c r="H65" s="42"/>
      <c r="I65" s="42">
        <f>I61-3*I62</f>
        <v>27.77876200197538</v>
      </c>
      <c r="J65" s="42">
        <f>J61-3*J62</f>
        <v>36.558059505047822</v>
      </c>
      <c r="K65" s="42">
        <f>K61-3*K62</f>
        <v>55.110458888991438</v>
      </c>
      <c r="L65" s="42">
        <f>L61-4*L62</f>
        <v>67.92362289032458</v>
      </c>
      <c r="M65" s="42">
        <f>M61+3*M62</f>
        <v>201.34569231484372</v>
      </c>
      <c r="N65" s="42"/>
      <c r="O65" s="42">
        <f>O61-1.5*O62</f>
        <v>-2.6674064824762826</v>
      </c>
      <c r="P65" s="42"/>
      <c r="Q65" s="42">
        <f>Q61-1.5*Q62</f>
        <v>1.2368033936567677</v>
      </c>
      <c r="R65" s="42"/>
      <c r="S65" s="42">
        <f>S61+3*S62</f>
        <v>240.80629391792863</v>
      </c>
      <c r="T65" s="42"/>
      <c r="U65" s="42">
        <f>U61-1.5*U62</f>
        <v>-0.44061208018151587</v>
      </c>
      <c r="V65" s="42"/>
      <c r="W65" s="42">
        <f>W61-1.5*W62</f>
        <v>-1.0957719546288329</v>
      </c>
      <c r="X65" s="42"/>
      <c r="Y65" s="42">
        <f>Y61+4*Y62</f>
        <v>200.59836817762024</v>
      </c>
      <c r="Z65" s="42"/>
      <c r="AA65" s="42">
        <f>AA61-1.5*AA62</f>
        <v>-0.33676244684924672</v>
      </c>
      <c r="AB65" s="42"/>
      <c r="AC65" s="42">
        <f>AC61-1.5*AC62</f>
        <v>-3.5396415017472549</v>
      </c>
      <c r="AD65" s="42"/>
      <c r="AE65" s="42">
        <f>AE61+3*AE62</f>
        <v>161.88244983539573</v>
      </c>
      <c r="AF65" s="42"/>
      <c r="AG65" s="42">
        <f>AG61-1.5*AG62</f>
        <v>-2.4274099646319174</v>
      </c>
      <c r="AH65" s="42"/>
      <c r="AI65" s="42">
        <f>AI61-1.5*AI62</f>
        <v>-6.6302765751465227</v>
      </c>
      <c r="AJ65" s="42"/>
      <c r="AK65" s="42"/>
      <c r="AL65" s="42"/>
      <c r="AM65" s="42"/>
    </row>
  </sheetData>
  <sortState ref="A3:AM60">
    <sortCondition ref="H3:H60"/>
  </sortState>
  <mergeCells count="7">
    <mergeCell ref="AL1:AL2"/>
    <mergeCell ref="A1:A2"/>
    <mergeCell ref="B1:B2"/>
    <mergeCell ref="M1:AK1"/>
    <mergeCell ref="AM1:AM2"/>
    <mergeCell ref="C1:C2"/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56" t="s">
        <v>0</v>
      </c>
      <c r="B1" s="56" t="s">
        <v>1</v>
      </c>
      <c r="C1" s="53" t="s">
        <v>206</v>
      </c>
      <c r="D1" s="49"/>
      <c r="E1" s="49"/>
      <c r="F1" s="49"/>
      <c r="G1" s="49"/>
      <c r="H1" s="49"/>
      <c r="I1" s="49"/>
      <c r="J1" s="50"/>
      <c r="K1" s="56" t="s">
        <v>625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9" ht="60" x14ac:dyDescent="0.25">
      <c r="A2" s="56"/>
      <c r="B2" s="56"/>
      <c r="C2" s="1" t="s">
        <v>5</v>
      </c>
      <c r="D2" s="1" t="s">
        <v>31</v>
      </c>
      <c r="E2" s="1" t="s">
        <v>154</v>
      </c>
      <c r="F2" s="4" t="s">
        <v>213</v>
      </c>
      <c r="G2" s="4" t="s">
        <v>651</v>
      </c>
      <c r="H2" s="4" t="s">
        <v>652</v>
      </c>
      <c r="I2" s="4" t="s">
        <v>653</v>
      </c>
      <c r="J2" s="4" t="s">
        <v>654</v>
      </c>
      <c r="K2" s="1" t="s">
        <v>626</v>
      </c>
      <c r="L2" s="4" t="s">
        <v>627</v>
      </c>
      <c r="M2" s="4" t="s">
        <v>628</v>
      </c>
      <c r="N2" s="4" t="s">
        <v>629</v>
      </c>
      <c r="O2" s="4" t="s">
        <v>630</v>
      </c>
      <c r="P2" s="4" t="s">
        <v>631</v>
      </c>
      <c r="Q2" s="4" t="s">
        <v>632</v>
      </c>
      <c r="R2" s="4" t="s">
        <v>633</v>
      </c>
      <c r="S2" s="4" t="s">
        <v>634</v>
      </c>
      <c r="T2" s="4" t="s">
        <v>635</v>
      </c>
      <c r="U2" s="4" t="s">
        <v>636</v>
      </c>
      <c r="V2" s="4" t="s">
        <v>637</v>
      </c>
    </row>
    <row r="3" spans="1:29" x14ac:dyDescent="0.25">
      <c r="A3" s="14">
        <v>1</v>
      </c>
      <c r="B3" s="2" t="s">
        <v>247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44">
        <v>49.5</v>
      </c>
      <c r="H3" s="44">
        <v>65.599999999999994</v>
      </c>
      <c r="I3" s="44">
        <v>80</v>
      </c>
      <c r="J3" s="44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4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44">
        <v>100</v>
      </c>
      <c r="H4" s="44">
        <v>82.4</v>
      </c>
      <c r="I4" s="44">
        <v>94</v>
      </c>
      <c r="J4" s="44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638</v>
      </c>
    </row>
    <row r="5" spans="1:29" x14ac:dyDescent="0.25">
      <c r="A5" s="14">
        <v>3</v>
      </c>
      <c r="B5" s="2" t="s">
        <v>419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44">
        <v>75.599999999999994</v>
      </c>
      <c r="H5" s="44">
        <v>81</v>
      </c>
      <c r="I5" s="44">
        <v>83.1</v>
      </c>
      <c r="J5" s="44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4">
        <v>4</v>
      </c>
      <c r="B6" s="2" t="s">
        <v>422</v>
      </c>
      <c r="C6" s="2">
        <v>7</v>
      </c>
      <c r="D6" s="2">
        <v>9</v>
      </c>
      <c r="E6" s="2" t="s">
        <v>155</v>
      </c>
      <c r="F6" s="2">
        <f t="shared" si="3"/>
        <v>1</v>
      </c>
      <c r="G6" s="44">
        <v>81</v>
      </c>
      <c r="H6" s="44">
        <v>81.3</v>
      </c>
      <c r="I6" s="44">
        <v>92</v>
      </c>
      <c r="J6" s="44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4">
        <v>5</v>
      </c>
      <c r="B7" s="2" t="s">
        <v>211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44">
        <v>75.2</v>
      </c>
      <c r="H7" s="44">
        <v>79.3</v>
      </c>
      <c r="I7" s="44">
        <v>91.8</v>
      </c>
      <c r="J7" s="44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4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44">
        <v>80.400000000000006</v>
      </c>
      <c r="H8" s="44">
        <v>100</v>
      </c>
      <c r="I8" s="44">
        <v>80.599999999999994</v>
      </c>
      <c r="J8" s="44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4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44">
        <v>75</v>
      </c>
      <c r="H9" s="44">
        <v>76.099999999999994</v>
      </c>
      <c r="I9" s="44">
        <v>81.7</v>
      </c>
      <c r="J9" s="44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4">
        <f t="shared" ref="A10:A60" si="13">A9+1</f>
        <v>8</v>
      </c>
      <c r="B10" s="2" t="s">
        <v>431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44">
        <v>50.7</v>
      </c>
      <c r="H10" s="44">
        <v>58.6</v>
      </c>
      <c r="I10" s="44">
        <v>81.400000000000006</v>
      </c>
      <c r="J10" s="44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4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44">
        <v>49.6</v>
      </c>
      <c r="H11" s="44">
        <v>76.599999999999994</v>
      </c>
      <c r="I11" s="44">
        <v>71.8</v>
      </c>
      <c r="J11" s="44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4">
        <f t="shared" si="13"/>
        <v>10</v>
      </c>
      <c r="B12" s="2" t="s">
        <v>420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44">
        <v>49.8</v>
      </c>
      <c r="H12" s="44">
        <v>65.099999999999994</v>
      </c>
      <c r="I12" s="44">
        <v>79.7</v>
      </c>
      <c r="J12" s="44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4">
        <f t="shared" si="13"/>
        <v>11</v>
      </c>
      <c r="B13" s="2" t="s">
        <v>450</v>
      </c>
      <c r="C13" s="2">
        <v>450</v>
      </c>
      <c r="D13" s="2"/>
      <c r="E13" s="2" t="s">
        <v>156</v>
      </c>
      <c r="F13" s="2">
        <f t="shared" si="3"/>
        <v>1</v>
      </c>
      <c r="G13" s="44"/>
      <c r="H13" s="44"/>
      <c r="I13" s="44"/>
      <c r="J13" s="44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4">
        <f t="shared" si="13"/>
        <v>12</v>
      </c>
      <c r="B14" s="2" t="s">
        <v>414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44">
        <v>58.2</v>
      </c>
      <c r="H14" s="44">
        <v>69.2</v>
      </c>
      <c r="I14" s="44">
        <v>85.8</v>
      </c>
      <c r="J14" s="44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4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44">
        <v>63.3</v>
      </c>
      <c r="H15" s="44">
        <v>74.900000000000006</v>
      </c>
      <c r="I15" s="44">
        <v>82</v>
      </c>
      <c r="J15" s="44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4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44">
        <v>50.2</v>
      </c>
      <c r="H16" s="44">
        <v>65.5</v>
      </c>
      <c r="I16" s="44">
        <v>79.400000000000006</v>
      </c>
      <c r="J16" s="44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4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44">
        <v>61.6</v>
      </c>
      <c r="H17" s="44">
        <v>72.3</v>
      </c>
      <c r="I17" s="44">
        <v>82.5</v>
      </c>
      <c r="J17" s="44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4">
        <f t="shared" si="13"/>
        <v>16</v>
      </c>
      <c r="B18" s="2" t="s">
        <v>449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44">
        <v>71.2</v>
      </c>
      <c r="H18" s="44">
        <v>79.3</v>
      </c>
      <c r="I18" s="44">
        <v>85.8</v>
      </c>
      <c r="J18" s="44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4">
        <f t="shared" si="13"/>
        <v>17</v>
      </c>
      <c r="B19" s="2" t="s">
        <v>434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44">
        <v>65.400000000000006</v>
      </c>
      <c r="H19" s="44">
        <v>61.1</v>
      </c>
      <c r="I19" s="44">
        <v>78.5</v>
      </c>
      <c r="J19" s="44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4">
        <f t="shared" si="13"/>
        <v>18</v>
      </c>
      <c r="B20" s="2" t="s">
        <v>418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44">
        <v>40.299999999999997</v>
      </c>
      <c r="H20" s="44">
        <v>53.9</v>
      </c>
      <c r="I20" s="44">
        <v>77.900000000000006</v>
      </c>
      <c r="J20" s="44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4">
        <f t="shared" si="13"/>
        <v>19</v>
      </c>
      <c r="B21" s="2" t="s">
        <v>411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44">
        <v>71.099999999999994</v>
      </c>
      <c r="H21" s="43">
        <v>66.8</v>
      </c>
      <c r="I21" s="44">
        <v>87.4</v>
      </c>
      <c r="J21" s="44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4">
        <f t="shared" si="13"/>
        <v>20</v>
      </c>
      <c r="B22" s="2" t="s">
        <v>432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44">
        <v>58.9</v>
      </c>
      <c r="H22" s="44">
        <v>49.5</v>
      </c>
      <c r="I22" s="44">
        <v>77.900000000000006</v>
      </c>
      <c r="J22" s="44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4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44">
        <v>67.7</v>
      </c>
      <c r="H23" s="44">
        <v>77.5</v>
      </c>
      <c r="I23" s="44">
        <v>67.599999999999994</v>
      </c>
      <c r="J23" s="44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4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44">
        <v>49.4</v>
      </c>
      <c r="H24" s="44">
        <v>60.8</v>
      </c>
      <c r="I24" s="44">
        <v>74.5</v>
      </c>
      <c r="J24" s="44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4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44">
        <v>90.5</v>
      </c>
      <c r="H25" s="44">
        <v>98.7</v>
      </c>
      <c r="I25" s="44">
        <v>95.4</v>
      </c>
      <c r="J25" s="44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4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44">
        <v>87.8</v>
      </c>
      <c r="H26" s="44">
        <v>96</v>
      </c>
      <c r="I26" s="44">
        <v>100</v>
      </c>
      <c r="J26" s="44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4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44">
        <v>78.900000000000006</v>
      </c>
      <c r="H27" s="44">
        <v>80.900000000000006</v>
      </c>
      <c r="I27" s="44">
        <v>78.8</v>
      </c>
      <c r="J27" s="44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4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44">
        <v>81</v>
      </c>
      <c r="H28" s="44">
        <v>97.3</v>
      </c>
      <c r="I28" s="44">
        <v>81.2</v>
      </c>
      <c r="J28" s="44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4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44">
        <v>78.2</v>
      </c>
      <c r="H29" s="44">
        <v>88.9</v>
      </c>
      <c r="I29" s="44">
        <v>81.7</v>
      </c>
      <c r="J29" s="44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4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44">
        <v>73.400000000000006</v>
      </c>
      <c r="H30" s="44">
        <v>85.1</v>
      </c>
      <c r="I30" s="43">
        <v>89.8</v>
      </c>
      <c r="J30" s="44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4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44">
        <v>77.400000000000006</v>
      </c>
      <c r="H31" s="44">
        <v>89.8</v>
      </c>
      <c r="I31" s="44">
        <v>85.1</v>
      </c>
      <c r="J31" s="44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4">
        <f t="shared" si="13"/>
        <v>30</v>
      </c>
      <c r="B32" s="2" t="s">
        <v>436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44">
        <v>77.8</v>
      </c>
      <c r="H32" s="44">
        <v>89.2</v>
      </c>
      <c r="I32" s="44">
        <v>77.900000000000006</v>
      </c>
      <c r="J32" s="44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4">
        <f t="shared" si="13"/>
        <v>31</v>
      </c>
      <c r="B33" s="2" t="s">
        <v>405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44">
        <v>85.7</v>
      </c>
      <c r="H33" s="44">
        <v>89</v>
      </c>
      <c r="I33" s="44">
        <v>93.3</v>
      </c>
      <c r="J33" s="44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4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44">
        <v>79.099999999999994</v>
      </c>
      <c r="H34" s="44">
        <v>78.400000000000006</v>
      </c>
      <c r="I34" s="44">
        <v>85.6</v>
      </c>
      <c r="J34" s="44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4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44">
        <v>63.3</v>
      </c>
      <c r="H35" s="44">
        <v>78.7</v>
      </c>
      <c r="I35" s="44">
        <v>64.099999999999994</v>
      </c>
      <c r="J35" s="44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4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44">
        <v>64</v>
      </c>
      <c r="H36" s="44">
        <v>80.7</v>
      </c>
      <c r="I36" s="44">
        <v>64.599999999999994</v>
      </c>
      <c r="J36" s="44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4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44">
        <v>73.8</v>
      </c>
      <c r="H37" s="44">
        <v>75.400000000000006</v>
      </c>
      <c r="I37" s="44">
        <v>80.599999999999994</v>
      </c>
      <c r="J37" s="44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4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44">
        <v>72.599999999999994</v>
      </c>
      <c r="H38" s="44">
        <v>79</v>
      </c>
      <c r="I38" s="44">
        <v>79.400000000000006</v>
      </c>
      <c r="J38" s="44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4">
        <f t="shared" si="13"/>
        <v>37</v>
      </c>
      <c r="B39" s="2" t="s">
        <v>412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44">
        <v>74</v>
      </c>
      <c r="H39" s="44">
        <v>59.2</v>
      </c>
      <c r="I39" s="44">
        <v>85.6</v>
      </c>
      <c r="J39" s="44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4">
        <f t="shared" si="13"/>
        <v>38</v>
      </c>
      <c r="B40" s="2" t="s">
        <v>407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44">
        <v>58.8</v>
      </c>
      <c r="H40" s="44">
        <v>69.099999999999994</v>
      </c>
      <c r="I40" s="44">
        <v>86.8</v>
      </c>
      <c r="J40" s="44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4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44">
        <v>58.3</v>
      </c>
      <c r="H41" s="44">
        <v>66.7</v>
      </c>
      <c r="I41" s="44">
        <v>71.8</v>
      </c>
      <c r="J41" s="44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4">
        <f t="shared" si="13"/>
        <v>40</v>
      </c>
      <c r="B42" s="2" t="s">
        <v>439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44">
        <v>56.7</v>
      </c>
      <c r="H42" s="44">
        <v>61.7</v>
      </c>
      <c r="I42" s="44">
        <v>77.599999999999994</v>
      </c>
      <c r="J42" s="44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4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44">
        <v>63.5</v>
      </c>
      <c r="H43" s="43">
        <v>58</v>
      </c>
      <c r="I43" s="44">
        <v>77.900000000000006</v>
      </c>
      <c r="J43" s="44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4">
        <f t="shared" si="13"/>
        <v>42</v>
      </c>
      <c r="B44" s="2" t="s">
        <v>429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44">
        <v>65</v>
      </c>
      <c r="H44" s="44">
        <v>61.3</v>
      </c>
      <c r="I44" s="44">
        <v>71.8</v>
      </c>
      <c r="J44" s="44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4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44">
        <v>53.3</v>
      </c>
      <c r="H45" s="44">
        <v>65.5</v>
      </c>
      <c r="I45" s="44">
        <v>73.400000000000006</v>
      </c>
      <c r="J45" s="44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4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44">
        <v>57.7</v>
      </c>
      <c r="H46" s="44">
        <v>58</v>
      </c>
      <c r="I46" s="44">
        <v>73</v>
      </c>
      <c r="J46" s="44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4">
        <f t="shared" si="13"/>
        <v>45</v>
      </c>
      <c r="B47" s="2" t="s">
        <v>452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44">
        <v>55.5</v>
      </c>
      <c r="H47" s="44">
        <v>61.8</v>
      </c>
      <c r="I47" s="44">
        <v>71</v>
      </c>
      <c r="J47" s="44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4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44">
        <v>81.8</v>
      </c>
      <c r="H48" s="44">
        <v>83.5</v>
      </c>
      <c r="I48" s="44">
        <v>90.6</v>
      </c>
      <c r="J48" s="44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4">
        <f t="shared" si="13"/>
        <v>47</v>
      </c>
      <c r="B49" s="2" t="s">
        <v>410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44">
        <v>77.3</v>
      </c>
      <c r="H49" s="44">
        <v>85.9</v>
      </c>
      <c r="I49" s="44">
        <v>84.6</v>
      </c>
      <c r="J49" s="44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4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44">
        <v>79.3</v>
      </c>
      <c r="H50" s="44">
        <v>71.7</v>
      </c>
      <c r="I50" s="44">
        <v>90.2</v>
      </c>
      <c r="J50" s="44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4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44">
        <v>76.5</v>
      </c>
      <c r="H51" s="44">
        <v>76.900000000000006</v>
      </c>
      <c r="I51" s="44">
        <v>85.3</v>
      </c>
      <c r="J51" s="44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4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44">
        <v>93</v>
      </c>
      <c r="H52" s="44">
        <v>74.7</v>
      </c>
      <c r="I52" s="44">
        <v>100</v>
      </c>
      <c r="J52" s="44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4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44">
        <v>75.3</v>
      </c>
      <c r="H53" s="44">
        <v>73.900000000000006</v>
      </c>
      <c r="I53" s="44">
        <v>90.6</v>
      </c>
      <c r="J53" s="44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4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44">
        <v>72.3</v>
      </c>
      <c r="H54" s="44">
        <v>86.8</v>
      </c>
      <c r="I54" s="44">
        <v>69.400000000000006</v>
      </c>
      <c r="J54" s="44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4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44">
        <v>63.4</v>
      </c>
      <c r="H55" s="44">
        <v>80</v>
      </c>
      <c r="I55" s="44">
        <v>86.8</v>
      </c>
      <c r="J55" s="44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4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44">
        <v>69.8</v>
      </c>
      <c r="H56" s="44">
        <v>69.7</v>
      </c>
      <c r="I56" s="44">
        <v>88.5</v>
      </c>
      <c r="J56" s="44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4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44">
        <v>60.5</v>
      </c>
      <c r="H57" s="44">
        <v>75.400000000000006</v>
      </c>
      <c r="I57" s="44">
        <v>69.8</v>
      </c>
      <c r="J57" s="44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4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44">
        <v>63</v>
      </c>
      <c r="H58" s="44">
        <v>70.5</v>
      </c>
      <c r="I58" s="44">
        <v>76.900000000000006</v>
      </c>
      <c r="J58" s="44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4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44">
        <v>65.3</v>
      </c>
      <c r="H59" s="44">
        <v>69.5</v>
      </c>
      <c r="I59" s="44">
        <v>73.400000000000006</v>
      </c>
      <c r="J59" s="44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4">
        <f t="shared" si="13"/>
        <v>58</v>
      </c>
      <c r="B60" s="2" t="s">
        <v>409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44">
        <v>52.2</v>
      </c>
      <c r="H60" s="44">
        <v>58.1</v>
      </c>
      <c r="I60" s="44">
        <v>81.400000000000006</v>
      </c>
      <c r="J60" s="44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21"/>
      <c r="L61" s="21"/>
    </row>
    <row r="62" spans="1:22" x14ac:dyDescent="0.25">
      <c r="K62" s="21"/>
      <c r="L62" s="21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56" t="s">
        <v>391</v>
      </c>
      <c r="B1" s="56"/>
      <c r="C1" s="56"/>
      <c r="D1" s="56"/>
      <c r="E1" s="56"/>
      <c r="F1" s="56"/>
      <c r="H1" s="60" t="s">
        <v>392</v>
      </c>
      <c r="I1" s="60"/>
      <c r="J1" s="60"/>
      <c r="K1" s="60"/>
      <c r="L1" s="60"/>
      <c r="M1" s="60"/>
      <c r="O1" s="65" t="s">
        <v>393</v>
      </c>
      <c r="P1" s="65"/>
      <c r="Q1" s="65"/>
      <c r="R1" s="65"/>
      <c r="S1" s="65"/>
      <c r="T1" s="65"/>
      <c r="V1" s="66" t="s">
        <v>394</v>
      </c>
      <c r="W1" s="66"/>
      <c r="X1" s="66"/>
      <c r="Y1" s="66"/>
      <c r="Z1" s="66"/>
      <c r="AA1" s="66"/>
    </row>
    <row r="2" spans="1:27" x14ac:dyDescent="0.25">
      <c r="A2" s="1" t="s">
        <v>0</v>
      </c>
      <c r="B2" s="1" t="s">
        <v>395</v>
      </c>
      <c r="C2" s="1" t="s">
        <v>396</v>
      </c>
      <c r="D2" s="1" t="s">
        <v>397</v>
      </c>
      <c r="E2" s="1" t="s">
        <v>398</v>
      </c>
      <c r="F2" s="1" t="s">
        <v>399</v>
      </c>
      <c r="H2" s="39" t="s">
        <v>0</v>
      </c>
      <c r="I2" s="39" t="s">
        <v>400</v>
      </c>
      <c r="J2" s="39" t="s">
        <v>396</v>
      </c>
      <c r="K2" s="39" t="s">
        <v>397</v>
      </c>
      <c r="L2" s="39" t="s">
        <v>398</v>
      </c>
      <c r="M2" s="39" t="s">
        <v>399</v>
      </c>
      <c r="O2" s="40" t="s">
        <v>0</v>
      </c>
      <c r="P2" s="40" t="s">
        <v>400</v>
      </c>
      <c r="Q2" s="40" t="s">
        <v>396</v>
      </c>
      <c r="R2" s="40" t="s">
        <v>397</v>
      </c>
      <c r="S2" s="40" t="s">
        <v>398</v>
      </c>
      <c r="T2" s="40" t="s">
        <v>399</v>
      </c>
      <c r="V2" s="37" t="s">
        <v>0</v>
      </c>
      <c r="W2" s="37" t="s">
        <v>400</v>
      </c>
      <c r="X2" s="37" t="s">
        <v>396</v>
      </c>
      <c r="Y2" s="37" t="s">
        <v>397</v>
      </c>
      <c r="Z2" s="37" t="s">
        <v>398</v>
      </c>
      <c r="AA2" s="37" t="s">
        <v>399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401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402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403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211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404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405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405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406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407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211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405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408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408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409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410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411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412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405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413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414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415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411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412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378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416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417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418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383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407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419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419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420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421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422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423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410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424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211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247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383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379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425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410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426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427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428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407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383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429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419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430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431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421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432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433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379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434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380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412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381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419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382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381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435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383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436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378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411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437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421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438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384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412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416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434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385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423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439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422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440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409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432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441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442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430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443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443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444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445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446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447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211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448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449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450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441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386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401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451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452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453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415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450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454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455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456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382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457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458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459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460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461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462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463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411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433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462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387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464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439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420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465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466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389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450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388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467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452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389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468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469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434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470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457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390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452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471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247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472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429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473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455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450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474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475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247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476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477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478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479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480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407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421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410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440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439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473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481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474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482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483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484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485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486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384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487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432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423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488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431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489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490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491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492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493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433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494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451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495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423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485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496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439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452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427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497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498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460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499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500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403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501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502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503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504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505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473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503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463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414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506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507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414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508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448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503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427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487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435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509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429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510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511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512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416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451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505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513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514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515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516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517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432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386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497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494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415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434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518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519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457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520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420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521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507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446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481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475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438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516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506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522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523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524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525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515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415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502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526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527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512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524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528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416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529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530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531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471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532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492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533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519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534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522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455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513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478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535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517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389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457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536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447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537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463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538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539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467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540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458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541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542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409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449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543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544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443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545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469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520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499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496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546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441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547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542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418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459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435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479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548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428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549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529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550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551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552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454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553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554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455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555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556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501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557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558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544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549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559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511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424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560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561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480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562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496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492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554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563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431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522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491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550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420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546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518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538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418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509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564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413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502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565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506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437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566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526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567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568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530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500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569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473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532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504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484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443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442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570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482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571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572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573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456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574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380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537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8" t="s">
        <v>575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388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564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576</v>
      </c>
    </row>
    <row r="125" spans="1:27" x14ac:dyDescent="0.25">
      <c r="A125" s="2">
        <v>123</v>
      </c>
      <c r="B125" s="2" t="s">
        <v>577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578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579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580</v>
      </c>
    </row>
    <row r="126" spans="1:27" x14ac:dyDescent="0.25">
      <c r="A126" s="2">
        <v>124</v>
      </c>
      <c r="B126" s="2" t="s">
        <v>553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436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548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581</v>
      </c>
    </row>
    <row r="127" spans="1:27" x14ac:dyDescent="0.25">
      <c r="A127" s="2">
        <v>125</v>
      </c>
      <c r="B127" s="2" t="s">
        <v>560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441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567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478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385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582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583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557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584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444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585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586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461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587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588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483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551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589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590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591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592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465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418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544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545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593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502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507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512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592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536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594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469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565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433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548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509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530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451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595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471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596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389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533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537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467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597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468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563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579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446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568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462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530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572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479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598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496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599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491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600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414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507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601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494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589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602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435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603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511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390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505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574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591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604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605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463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606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583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487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607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608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511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526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551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571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600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500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609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504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497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610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540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462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611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612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492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431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493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494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476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534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519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438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501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570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447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585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547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495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613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485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614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615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438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427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604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596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485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512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616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617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542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409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618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519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497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616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544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456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619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606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620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387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546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524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529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621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535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404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477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622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623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609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516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559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488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595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567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624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236</v>
      </c>
      <c r="F1" s="4" t="s">
        <v>237</v>
      </c>
      <c r="G1" s="1" t="s">
        <v>285</v>
      </c>
      <c r="H1" s="1" t="s">
        <v>293</v>
      </c>
      <c r="I1" s="1" t="s">
        <v>291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3">
        <v>1315</v>
      </c>
      <c r="F2" s="13">
        <v>184</v>
      </c>
      <c r="G2" s="2">
        <f t="shared" ref="G2:G30" si="0">(E2+F2)/2</f>
        <v>749.5</v>
      </c>
      <c r="H2" s="2">
        <v>0.13041586914912129</v>
      </c>
      <c r="I2" s="18" t="s">
        <v>292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3">
        <v>1088</v>
      </c>
      <c r="F3" s="13">
        <v>169</v>
      </c>
      <c r="G3" s="2">
        <f t="shared" si="0"/>
        <v>628.5</v>
      </c>
      <c r="H3" s="2">
        <v>0.10936140595093093</v>
      </c>
      <c r="I3" s="18" t="s">
        <v>292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3">
        <v>4391</v>
      </c>
      <c r="F4" s="13">
        <v>2312</v>
      </c>
      <c r="G4" s="2">
        <f t="shared" si="0"/>
        <v>3351.5</v>
      </c>
      <c r="H4" s="2">
        <v>0.58317382982425614</v>
      </c>
      <c r="I4" s="18" t="s">
        <v>292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9">
        <v>118</v>
      </c>
      <c r="G5" s="2">
        <f t="shared" si="0"/>
        <v>310.5</v>
      </c>
      <c r="H5" s="2">
        <v>5.4028188620149645E-2</v>
      </c>
      <c r="I5" s="18" t="s">
        <v>287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3">
        <v>2671</v>
      </c>
      <c r="F6" s="2">
        <v>439</v>
      </c>
      <c r="G6" s="2">
        <f t="shared" si="0"/>
        <v>1555</v>
      </c>
      <c r="H6" s="2">
        <v>0.27057595267095874</v>
      </c>
      <c r="I6" s="18" t="s">
        <v>292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3">
        <v>4391</v>
      </c>
      <c r="F7" s="13">
        <v>2312</v>
      </c>
      <c r="G7" s="2">
        <f t="shared" si="0"/>
        <v>3351.5</v>
      </c>
      <c r="H7" s="2">
        <v>0.58317382982425614</v>
      </c>
      <c r="I7" s="18" t="s">
        <v>292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3">
        <v>6805</v>
      </c>
      <c r="F8" s="13">
        <v>2531</v>
      </c>
      <c r="G8" s="2">
        <f t="shared" si="0"/>
        <v>4668</v>
      </c>
      <c r="H8" s="2">
        <v>0.81224986949712896</v>
      </c>
      <c r="I8" s="18" t="s">
        <v>292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3">
        <v>1269</v>
      </c>
      <c r="F9" s="2">
        <v>390</v>
      </c>
      <c r="G9" s="2">
        <f t="shared" si="0"/>
        <v>829.5</v>
      </c>
      <c r="H9" s="2">
        <v>0.14433617539585872</v>
      </c>
      <c r="I9" s="18" t="s">
        <v>292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3">
        <v>3098</v>
      </c>
      <c r="F10" s="2">
        <v>758</v>
      </c>
      <c r="G10" s="2">
        <f t="shared" si="0"/>
        <v>1928</v>
      </c>
      <c r="H10" s="2">
        <v>0.335479380546372</v>
      </c>
      <c r="I10" s="18" t="s">
        <v>292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8" t="s">
        <v>292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8" t="s">
        <v>292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3">
        <v>3737</v>
      </c>
      <c r="F13" s="2">
        <v>847</v>
      </c>
      <c r="G13" s="2">
        <f t="shared" si="0"/>
        <v>2292</v>
      </c>
      <c r="H13" s="2">
        <v>0.39881677396902732</v>
      </c>
      <c r="I13" s="18" t="s">
        <v>292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8" t="s">
        <v>292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8" t="s">
        <v>292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3">
        <v>1273</v>
      </c>
      <c r="F16" s="2">
        <v>249</v>
      </c>
      <c r="G16" s="2">
        <f t="shared" si="0"/>
        <v>761</v>
      </c>
      <c r="H16" s="2">
        <v>0.13241691317208978</v>
      </c>
      <c r="I16" s="18" t="s">
        <v>288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3">
        <v>1332</v>
      </c>
      <c r="F17" s="2">
        <v>198</v>
      </c>
      <c r="G17" s="2">
        <f t="shared" si="0"/>
        <v>765</v>
      </c>
      <c r="H17" s="2">
        <v>0.13311292848442666</v>
      </c>
      <c r="I17" s="18" t="s">
        <v>286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3">
        <v>1279</v>
      </c>
      <c r="F18" s="2">
        <v>297</v>
      </c>
      <c r="G18" s="2">
        <f t="shared" si="0"/>
        <v>788</v>
      </c>
      <c r="H18" s="2">
        <v>0.13711501653036368</v>
      </c>
      <c r="I18" s="18" t="s">
        <v>292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8" t="s">
        <v>292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3">
        <v>1201</v>
      </c>
      <c r="F20" s="2">
        <v>528</v>
      </c>
      <c r="G20" s="2">
        <f t="shared" si="0"/>
        <v>864.5</v>
      </c>
      <c r="H20" s="2">
        <v>0.15042630937880633</v>
      </c>
      <c r="I20" s="18" t="s">
        <v>292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8" t="s">
        <v>292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3">
        <v>2909</v>
      </c>
      <c r="F22" s="2">
        <v>703</v>
      </c>
      <c r="G22" s="2">
        <f t="shared" si="0"/>
        <v>1806</v>
      </c>
      <c r="H22" s="2">
        <v>0.31425091352009743</v>
      </c>
      <c r="I22" s="18" t="s">
        <v>292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8" t="s">
        <v>292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3">
        <v>4398</v>
      </c>
      <c r="F24" s="13">
        <v>2312</v>
      </c>
      <c r="G24" s="2">
        <f t="shared" si="0"/>
        <v>3355</v>
      </c>
      <c r="H24" s="2">
        <v>0.58378284322255092</v>
      </c>
      <c r="I24" s="18" t="s">
        <v>292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3">
        <v>8745</v>
      </c>
      <c r="F25" s="13">
        <v>2749</v>
      </c>
      <c r="G25" s="2">
        <f t="shared" si="0"/>
        <v>5747</v>
      </c>
      <c r="H25" s="2">
        <v>1</v>
      </c>
      <c r="I25" s="18" t="s">
        <v>292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3">
        <v>2515</v>
      </c>
      <c r="F26" s="2">
        <v>806</v>
      </c>
      <c r="G26" s="2">
        <f t="shared" si="0"/>
        <v>1660.5</v>
      </c>
      <c r="H26" s="2">
        <v>0.28893335653384372</v>
      </c>
      <c r="I26" s="18" t="s">
        <v>292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8" t="s">
        <v>290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3">
        <v>6814</v>
      </c>
      <c r="F28" s="13">
        <v>1847</v>
      </c>
      <c r="G28" s="2">
        <f t="shared" si="0"/>
        <v>4330.5</v>
      </c>
      <c r="H28" s="2">
        <v>0.75352357751870536</v>
      </c>
      <c r="I28" s="18" t="s">
        <v>290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3">
        <v>2040</v>
      </c>
      <c r="F29" s="2">
        <v>643</v>
      </c>
      <c r="G29" s="2">
        <f t="shared" si="0"/>
        <v>1341.5</v>
      </c>
      <c r="H29" s="2">
        <v>0.23342613537497825</v>
      </c>
      <c r="I29" s="18" t="s">
        <v>289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3">
        <v>2040</v>
      </c>
      <c r="F30" s="2">
        <v>643</v>
      </c>
      <c r="G30" s="2">
        <f t="shared" si="0"/>
        <v>1341.5</v>
      </c>
      <c r="H30" s="2">
        <v>0.23342613537497825</v>
      </c>
      <c r="I30" s="18" t="s">
        <v>289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8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3">
        <v>5256</v>
      </c>
      <c r="F32" s="13">
        <v>2410</v>
      </c>
      <c r="G32" s="2">
        <f>(E32+F32)/2</f>
        <v>3833</v>
      </c>
      <c r="H32" s="2">
        <v>0.66695667304680706</v>
      </c>
      <c r="I32" s="18" t="s">
        <v>292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8" t="s">
        <v>287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8" t="s">
        <v>292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3">
        <v>2255</v>
      </c>
      <c r="F37" s="2">
        <v>617</v>
      </c>
      <c r="G37" s="2">
        <f t="shared" si="1"/>
        <v>1436</v>
      </c>
      <c r="H37" s="2">
        <v>0.24986949712893683</v>
      </c>
      <c r="I37" s="18" t="s">
        <v>292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3">
        <v>9413</v>
      </c>
      <c r="F38" s="13">
        <v>2027</v>
      </c>
      <c r="G38" s="2">
        <f t="shared" si="1"/>
        <v>5720</v>
      </c>
      <c r="H38" s="2">
        <v>0.99530189664172608</v>
      </c>
      <c r="I38" s="18" t="s">
        <v>292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8" t="s">
        <v>292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8" t="s">
        <v>292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8" t="s">
        <v>292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8" t="s">
        <v>292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8" t="s">
        <v>292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8" t="s">
        <v>292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3">
        <v>1112</v>
      </c>
      <c r="F45" s="2">
        <v>299</v>
      </c>
      <c r="G45" s="2">
        <f t="shared" si="1"/>
        <v>705.5</v>
      </c>
      <c r="H45" s="2">
        <v>0.1227597007134157</v>
      </c>
      <c r="I45" s="18" t="s">
        <v>292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3">
        <v>2903</v>
      </c>
      <c r="F46" s="2">
        <v>703</v>
      </c>
      <c r="G46" s="2">
        <f t="shared" si="1"/>
        <v>1803</v>
      </c>
      <c r="H46" s="2">
        <v>0.3137289020358448</v>
      </c>
      <c r="I46" s="18" t="s">
        <v>292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8" t="s">
        <v>292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3">
        <v>2746</v>
      </c>
      <c r="F48" s="2">
        <v>857</v>
      </c>
      <c r="G48" s="2">
        <f t="shared" si="1"/>
        <v>1801.5</v>
      </c>
      <c r="H48" s="2">
        <v>0.31346789629371846</v>
      </c>
      <c r="I48" s="18" t="s">
        <v>292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3">
        <v>9046</v>
      </c>
      <c r="F49" s="13">
        <v>2035</v>
      </c>
      <c r="G49" s="2">
        <f t="shared" si="1"/>
        <v>5540.5</v>
      </c>
      <c r="H49" s="2">
        <v>0.96406820950060901</v>
      </c>
      <c r="I49" s="18" t="s">
        <v>292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8" t="s">
        <v>292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3">
        <v>2451</v>
      </c>
      <c r="F51" s="13">
        <v>1030</v>
      </c>
      <c r="G51" s="2">
        <f t="shared" si="1"/>
        <v>1740.5</v>
      </c>
      <c r="H51" s="2">
        <v>0.30285366278058118</v>
      </c>
      <c r="I51" s="18" t="s">
        <v>292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8" t="s">
        <v>292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8" t="s">
        <v>292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8" t="s">
        <v>292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3">
        <v>2746</v>
      </c>
      <c r="F55" s="2">
        <v>857</v>
      </c>
      <c r="G55" s="2">
        <f t="shared" si="1"/>
        <v>1801.5</v>
      </c>
      <c r="H55" s="2">
        <v>0.31346789629371846</v>
      </c>
      <c r="I55" s="18" t="s">
        <v>292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3">
        <v>4317</v>
      </c>
      <c r="F56" s="13">
        <v>2292</v>
      </c>
      <c r="G56" s="2">
        <f t="shared" si="1"/>
        <v>3304.5</v>
      </c>
      <c r="H56" s="2">
        <v>0.57499564990429786</v>
      </c>
      <c r="I56" s="18" t="s">
        <v>292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3">
        <v>1292</v>
      </c>
      <c r="F57" s="2">
        <v>389</v>
      </c>
      <c r="G57" s="2">
        <f t="shared" si="1"/>
        <v>840.5</v>
      </c>
      <c r="H57" s="2">
        <v>0.14625021750478512</v>
      </c>
      <c r="I57" s="18" t="s">
        <v>292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3">
        <v>3412</v>
      </c>
      <c r="F58" s="2">
        <v>406</v>
      </c>
      <c r="G58" s="2">
        <f t="shared" si="1"/>
        <v>1909</v>
      </c>
      <c r="H58" s="2">
        <v>0.33217330781277188</v>
      </c>
      <c r="I58" s="18" t="s">
        <v>292</v>
      </c>
    </row>
    <row r="59" spans="1:9" x14ac:dyDescent="0.25">
      <c r="A59" s="2">
        <v>58</v>
      </c>
      <c r="B59" s="2" t="s">
        <v>216</v>
      </c>
      <c r="C59" s="2" t="s">
        <v>215</v>
      </c>
      <c r="D59" s="2" t="s">
        <v>56</v>
      </c>
      <c r="E59" s="13">
        <v>1421</v>
      </c>
      <c r="F59" s="2">
        <v>243</v>
      </c>
      <c r="G59" s="2">
        <f t="shared" si="1"/>
        <v>832</v>
      </c>
      <c r="H59" s="2">
        <v>0.14477118496606925</v>
      </c>
      <c r="I59" s="18" t="s">
        <v>292</v>
      </c>
    </row>
    <row r="60" spans="1:9" x14ac:dyDescent="0.25">
      <c r="G60" s="20">
        <f>MAX(G2:G59)</f>
        <v>5747</v>
      </c>
      <c r="H60" s="21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I59"/>
  <sheetViews>
    <sheetView workbookViewId="0">
      <selection activeCell="E8" sqref="E8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0.5703125" style="6" bestFit="1" customWidth="1"/>
    <col min="5" max="5" width="13.42578125" style="6" bestFit="1" customWidth="1"/>
    <col min="6" max="6" width="15.28515625" style="6" bestFit="1" customWidth="1"/>
    <col min="7" max="7" width="25.7109375" style="6" bestFit="1" customWidth="1"/>
    <col min="8" max="8" width="25.7109375" style="6" customWidth="1"/>
    <col min="9" max="9" width="10.5703125" style="6" bestFit="1" customWidth="1"/>
    <col min="10" max="16384" width="9.140625" style="6"/>
  </cols>
  <sheetData>
    <row r="1" spans="1:9" x14ac:dyDescent="0.25">
      <c r="A1" s="1" t="s">
        <v>0</v>
      </c>
      <c r="B1" s="1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33</v>
      </c>
    </row>
    <row r="2" spans="1:9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</row>
    <row r="3" spans="1:9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</row>
    <row r="5" spans="1:9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</row>
    <row r="6" spans="1:9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</row>
    <row r="7" spans="1:9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</row>
    <row r="8" spans="1:9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</row>
    <row r="9" spans="1:9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</row>
    <row r="10" spans="1:9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</row>
    <row r="13" spans="1:9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</row>
    <row r="14" spans="1:9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</row>
    <row r="15" spans="1:9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</row>
    <row r="16" spans="1:9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</row>
    <row r="17" spans="1:9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</row>
    <row r="18" spans="1:9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</row>
    <row r="19" spans="1:9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</row>
    <row r="20" spans="1:9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</row>
    <row r="21" spans="1:9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</row>
    <row r="22" spans="1:9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</row>
    <row r="23" spans="1:9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</row>
    <row r="24" spans="1:9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</row>
    <row r="25" spans="1:9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</row>
    <row r="26" spans="1:9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</row>
    <row r="27" spans="1:9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</row>
    <row r="28" spans="1:9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</row>
    <row r="29" spans="1:9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</row>
    <row r="30" spans="1:9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</row>
    <row r="31" spans="1:9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</row>
    <row r="32" spans="1:9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</row>
    <row r="33" spans="1:9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</row>
    <row r="34" spans="1:9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</row>
    <row r="35" spans="1:9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</row>
    <row r="36" spans="1:9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</row>
    <row r="37" spans="1:9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</row>
    <row r="38" spans="1:9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</row>
    <row r="39" spans="1:9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</row>
    <row r="40" spans="1:9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</row>
    <row r="41" spans="1:9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</row>
    <row r="42" spans="1:9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</row>
    <row r="43" spans="1:9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</row>
    <row r="44" spans="1:9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</row>
    <row r="45" spans="1:9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</row>
    <row r="46" spans="1:9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</row>
    <row r="47" spans="1:9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</row>
    <row r="48" spans="1:9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</row>
    <row r="49" spans="1:9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</row>
    <row r="50" spans="1:9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</row>
    <row r="51" spans="1:9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</row>
    <row r="52" spans="1:9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</row>
    <row r="53" spans="1:9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</row>
    <row r="54" spans="1:9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</row>
    <row r="55" spans="1:9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</row>
    <row r="56" spans="1:9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</row>
    <row r="57" spans="1:9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</row>
    <row r="58" spans="1:9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</row>
    <row r="59" spans="1:9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Universities Selection</vt:lpstr>
      <vt:lpstr>Relevant Programs</vt:lpstr>
      <vt:lpstr>CanBeAdded</vt:lpstr>
      <vt:lpstr>Rankings_Exp</vt:lpstr>
      <vt:lpstr>Rankings</vt:lpstr>
      <vt:lpstr>CS_Ranking_Lkp</vt:lpstr>
      <vt:lpstr>Citites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2018-08-17T13:21:58Z</dcterms:modified>
</cp:coreProperties>
</file>