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E881A316-9B17-4F1A-A956-D0C38B7F94FC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Yocket Data" sheetId="17" r:id="rId2"/>
    <sheet name="Additional Comments" sheetId="12" r:id="rId3"/>
    <sheet name="Other Programs" sheetId="15" r:id="rId4"/>
    <sheet name="Relevant Programs" sheetId="5" r:id="rId5"/>
    <sheet name="Rankings_Exp" sheetId="10" r:id="rId6"/>
    <sheet name="CS_Ranking_Lkp" sheetId="8" r:id="rId7"/>
    <sheet name="Citites" sheetId="6" r:id="rId8"/>
    <sheet name="Deprecated Universities" sheetId="13" r:id="rId9"/>
    <sheet name="Rankings" sheetId="9" r:id="rId10"/>
    <sheet name="Application Checklist" sheetId="4" r:id="rId11"/>
    <sheet name="University Application" sheetId="1" r:id="rId12"/>
    <sheet name="Reference" sheetId="14" r:id="rId13"/>
  </sheets>
  <definedNames>
    <definedName name="_xlnm._FilterDatabase" localSheetId="5" hidden="1">Rankings_Exp!$A$1:$AN$75</definedName>
    <definedName name="_xlnm._FilterDatabase" localSheetId="0" hidden="1">'Universities Selection'!$A$1:$AH$49</definedName>
    <definedName name="_xlnm._FilterDatabase" localSheetId="1" hidden="1">'Yocket Data'!$A$1:$Q$45</definedName>
    <definedName name="A1\">'Universities Selection'!$C$4</definedName>
    <definedName name="AI_Rank">CS_Ranking_Lkp!$B$3:$E$211</definedName>
    <definedName name="Back_Lkp" localSheetId="5">Rankings_Exp!$B$2:$D$68</definedName>
    <definedName name="Back_Lkp">Rankings!$B$3:$C$60</definedName>
    <definedName name="Cities">Citites!$B$2:$H$58</definedName>
    <definedName name="InterD_Rank">CS_Ranking_Lkp!$W$3:$Z$119</definedName>
    <definedName name="Overall_Rank">Rankings_Exp!$B$2:$C$68</definedName>
    <definedName name="Rank_Data_All">Rankings_Exp!$B$2:$AN$68</definedName>
    <definedName name="States">Citites!$C$2:$H$58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7" l="1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C48" i="17"/>
  <c r="U25" i="13" l="1"/>
  <c r="T25" i="13"/>
  <c r="S25" i="13"/>
  <c r="Q25" i="13"/>
  <c r="U24" i="13"/>
  <c r="T24" i="13"/>
  <c r="S24" i="13"/>
  <c r="P24" i="13"/>
  <c r="Q24" i="13" s="1"/>
  <c r="Q22" i="13"/>
  <c r="S22" i="13"/>
  <c r="T22" i="13"/>
  <c r="U22" i="13"/>
  <c r="Q23" i="13"/>
  <c r="S23" i="13"/>
  <c r="T23" i="13"/>
  <c r="U23" i="13"/>
  <c r="P21" i="13"/>
  <c r="Q21" i="13"/>
  <c r="S21" i="13"/>
  <c r="T21" i="13"/>
  <c r="U21" i="13"/>
  <c r="V36" i="3"/>
  <c r="U36" i="3"/>
  <c r="T36" i="3"/>
  <c r="R36" i="3"/>
  <c r="Y35" i="3"/>
  <c r="V35" i="3"/>
  <c r="U35" i="3"/>
  <c r="T35" i="3"/>
  <c r="R35" i="3"/>
  <c r="V34" i="3"/>
  <c r="U34" i="3"/>
  <c r="T34" i="3"/>
  <c r="R34" i="3"/>
  <c r="Y33" i="3"/>
  <c r="V33" i="3"/>
  <c r="U33" i="3"/>
  <c r="T33" i="3"/>
  <c r="R33" i="3"/>
  <c r="V32" i="3"/>
  <c r="U32" i="3"/>
  <c r="T32" i="3"/>
  <c r="R32" i="3"/>
  <c r="V31" i="3"/>
  <c r="U31" i="3"/>
  <c r="T31" i="3"/>
  <c r="R31" i="3"/>
  <c r="V30" i="3"/>
  <c r="U30" i="3"/>
  <c r="T30" i="3"/>
  <c r="R30" i="3"/>
  <c r="Y29" i="3"/>
  <c r="V29" i="3"/>
  <c r="U29" i="3"/>
  <c r="T29" i="3"/>
  <c r="Q29" i="3"/>
  <c r="V28" i="3"/>
  <c r="U28" i="3"/>
  <c r="T28" i="3"/>
  <c r="R28" i="3"/>
  <c r="V27" i="3"/>
  <c r="U27" i="3"/>
  <c r="T27" i="3"/>
  <c r="R27" i="3"/>
  <c r="V26" i="3"/>
  <c r="U26" i="3"/>
  <c r="T26" i="3"/>
  <c r="R26" i="3"/>
  <c r="V25" i="3"/>
  <c r="U25" i="3"/>
  <c r="T25" i="3"/>
  <c r="R25" i="3"/>
  <c r="V24" i="3"/>
  <c r="U24" i="3"/>
  <c r="T24" i="3"/>
  <c r="R24" i="3"/>
  <c r="V23" i="3"/>
  <c r="U23" i="3"/>
  <c r="T23" i="3"/>
  <c r="R23" i="3"/>
  <c r="V22" i="3"/>
  <c r="U22" i="3"/>
  <c r="T22" i="3"/>
  <c r="R22" i="3"/>
  <c r="V21" i="3"/>
  <c r="U21" i="3"/>
  <c r="T21" i="3"/>
  <c r="R21" i="3"/>
  <c r="V20" i="3"/>
  <c r="U20" i="3"/>
  <c r="T20" i="3"/>
  <c r="R20" i="3"/>
  <c r="V19" i="3"/>
  <c r="U19" i="3"/>
  <c r="T19" i="3"/>
  <c r="R19" i="3"/>
  <c r="V18" i="3"/>
  <c r="U18" i="3"/>
  <c r="T18" i="3"/>
  <c r="R18" i="3"/>
  <c r="V17" i="3"/>
  <c r="U17" i="3"/>
  <c r="T17" i="3"/>
  <c r="R17" i="3"/>
  <c r="X20" i="13"/>
  <c r="U20" i="13"/>
  <c r="T20" i="13"/>
  <c r="S20" i="13"/>
  <c r="U19" i="13"/>
  <c r="T19" i="13"/>
  <c r="S19" i="13"/>
  <c r="Q19" i="13"/>
  <c r="X18" i="13"/>
  <c r="U18" i="13"/>
  <c r="T18" i="13"/>
  <c r="S18" i="13"/>
  <c r="X17" i="13"/>
  <c r="U17" i="13"/>
  <c r="T17" i="13"/>
  <c r="S17" i="13"/>
  <c r="R44" i="3"/>
  <c r="Q42" i="3"/>
  <c r="R39" i="3"/>
  <c r="Y44" i="3"/>
  <c r="Y42" i="3"/>
  <c r="Y39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37" i="3"/>
  <c r="V38" i="3"/>
  <c r="V39" i="3"/>
  <c r="V40" i="3"/>
  <c r="V41" i="3"/>
  <c r="V42" i="3"/>
  <c r="V43" i="3"/>
  <c r="V44" i="3"/>
  <c r="V45" i="3"/>
  <c r="V2" i="3"/>
  <c r="G13" i="6" l="1"/>
  <c r="G4" i="6"/>
  <c r="G49" i="6"/>
  <c r="G54" i="6"/>
  <c r="G47" i="6"/>
  <c r="G39" i="6"/>
  <c r="G36" i="6"/>
  <c r="U39" i="3"/>
  <c r="U44" i="3"/>
  <c r="U42" i="3"/>
  <c r="T39" i="3"/>
  <c r="T44" i="3"/>
  <c r="T42" i="3"/>
  <c r="AJ18" i="10"/>
  <c r="AJ23" i="10"/>
  <c r="AJ29" i="10"/>
  <c r="AJ25" i="10"/>
  <c r="AJ30" i="10"/>
  <c r="AJ35" i="10"/>
  <c r="AJ33" i="10"/>
  <c r="AJ32" i="10"/>
  <c r="AJ37" i="10"/>
  <c r="AJ38" i="10"/>
  <c r="AJ42" i="10"/>
  <c r="AJ40" i="10"/>
  <c r="AJ39" i="10"/>
  <c r="AJ36" i="10"/>
  <c r="AJ45" i="10"/>
  <c r="AJ47" i="10"/>
  <c r="AJ49" i="10"/>
  <c r="AJ46" i="10"/>
  <c r="AJ51" i="10"/>
  <c r="AJ54" i="10"/>
  <c r="AJ53" i="10"/>
  <c r="AJ56" i="10"/>
  <c r="AJ57" i="10"/>
  <c r="AJ61" i="10"/>
  <c r="AJ63" i="10"/>
  <c r="AJ64" i="10"/>
  <c r="AJ67" i="10"/>
  <c r="AJ48" i="10"/>
  <c r="AJ50" i="10"/>
  <c r="AJ65" i="10"/>
  <c r="AJ62" i="10"/>
  <c r="AJ68" i="10"/>
  <c r="AJ60" i="10"/>
  <c r="AJ55" i="10"/>
  <c r="AJ66" i="10"/>
  <c r="AJ43" i="10"/>
  <c r="AJ7" i="10"/>
  <c r="AJ8" i="10"/>
  <c r="AJ13" i="10"/>
  <c r="AJ11" i="10"/>
  <c r="AJ10" i="10"/>
  <c r="AJ9" i="10"/>
  <c r="AJ12" i="10"/>
  <c r="AJ14" i="10"/>
  <c r="AJ15" i="10"/>
  <c r="AJ16" i="10"/>
  <c r="AJ19" i="10"/>
  <c r="AJ17" i="10"/>
  <c r="AJ20" i="10"/>
  <c r="AH18" i="10"/>
  <c r="AH23" i="10"/>
  <c r="AH29" i="10"/>
  <c r="AH25" i="10"/>
  <c r="AH30" i="10"/>
  <c r="AH35" i="10"/>
  <c r="AH33" i="10"/>
  <c r="AH32" i="10"/>
  <c r="AH37" i="10"/>
  <c r="AH38" i="10"/>
  <c r="AH42" i="10"/>
  <c r="AH40" i="10"/>
  <c r="AH39" i="10"/>
  <c r="AH36" i="10"/>
  <c r="AH45" i="10"/>
  <c r="AH47" i="10"/>
  <c r="AH49" i="10"/>
  <c r="AH46" i="10"/>
  <c r="AH51" i="10"/>
  <c r="AH54" i="10"/>
  <c r="AH53" i="10"/>
  <c r="AH56" i="10"/>
  <c r="AH57" i="10"/>
  <c r="AH61" i="10"/>
  <c r="AH63" i="10"/>
  <c r="AH64" i="10"/>
  <c r="AH67" i="10"/>
  <c r="AH48" i="10"/>
  <c r="AH50" i="10"/>
  <c r="AH65" i="10"/>
  <c r="AH62" i="10"/>
  <c r="AH68" i="10"/>
  <c r="AH60" i="10"/>
  <c r="AH55" i="10"/>
  <c r="AH66" i="10"/>
  <c r="AH43" i="10"/>
  <c r="AH7" i="10"/>
  <c r="AH8" i="10"/>
  <c r="AH13" i="10"/>
  <c r="AH11" i="10"/>
  <c r="AH10" i="10"/>
  <c r="AH9" i="10"/>
  <c r="AH12" i="10"/>
  <c r="AH14" i="10"/>
  <c r="AH15" i="10"/>
  <c r="AH16" i="10"/>
  <c r="AH19" i="10"/>
  <c r="AH17" i="10"/>
  <c r="AH20" i="10"/>
  <c r="AF48" i="10"/>
  <c r="AF50" i="10"/>
  <c r="AF65" i="10"/>
  <c r="AF62" i="10"/>
  <c r="AF68" i="10"/>
  <c r="AF60" i="10"/>
  <c r="AF55" i="10"/>
  <c r="AF66" i="10"/>
  <c r="AF43" i="10"/>
  <c r="AF13" i="10"/>
  <c r="AF11" i="10"/>
  <c r="AF10" i="10"/>
  <c r="AF9" i="10"/>
  <c r="AF12" i="10"/>
  <c r="AF14" i="10"/>
  <c r="AF15" i="10"/>
  <c r="AF16" i="10"/>
  <c r="AF19" i="10"/>
  <c r="AF17" i="10"/>
  <c r="AF20" i="10"/>
  <c r="AF18" i="10"/>
  <c r="AF23" i="10"/>
  <c r="AF29" i="10"/>
  <c r="AF25" i="10"/>
  <c r="AF30" i="10"/>
  <c r="AF35" i="10"/>
  <c r="AF33" i="10"/>
  <c r="AF32" i="10"/>
  <c r="AF37" i="10"/>
  <c r="AF38" i="10"/>
  <c r="AF42" i="10"/>
  <c r="AF40" i="10"/>
  <c r="AF39" i="10"/>
  <c r="AF36" i="10"/>
  <c r="AF45" i="10"/>
  <c r="AF47" i="10"/>
  <c r="AF49" i="10"/>
  <c r="AF46" i="10"/>
  <c r="AF51" i="10"/>
  <c r="AF54" i="10"/>
  <c r="AF53" i="10"/>
  <c r="AF56" i="10"/>
  <c r="AF57" i="10"/>
  <c r="AF61" i="10"/>
  <c r="AF63" i="10"/>
  <c r="AF64" i="10"/>
  <c r="AF67" i="10"/>
  <c r="AD48" i="10"/>
  <c r="AD50" i="10"/>
  <c r="AD65" i="10"/>
  <c r="AD62" i="10"/>
  <c r="AD68" i="10"/>
  <c r="AD60" i="10"/>
  <c r="AD55" i="10"/>
  <c r="AD66" i="10"/>
  <c r="AD43" i="10"/>
  <c r="AD13" i="10"/>
  <c r="AD11" i="10"/>
  <c r="AD10" i="10"/>
  <c r="AD9" i="10"/>
  <c r="AD12" i="10"/>
  <c r="AD14" i="10"/>
  <c r="AD15" i="10"/>
  <c r="AD16" i="10"/>
  <c r="AD19" i="10"/>
  <c r="AD17" i="10"/>
  <c r="AD20" i="10"/>
  <c r="AD18" i="10"/>
  <c r="AD23" i="10"/>
  <c r="AD29" i="10"/>
  <c r="AD25" i="10"/>
  <c r="AD30" i="10"/>
  <c r="AD35" i="10"/>
  <c r="AD33" i="10"/>
  <c r="AD32" i="10"/>
  <c r="AD41" i="10"/>
  <c r="AD37" i="10"/>
  <c r="AD38" i="10"/>
  <c r="AD42" i="10"/>
  <c r="AD40" i="10"/>
  <c r="AD39" i="10"/>
  <c r="AD36" i="10"/>
  <c r="AD45" i="10"/>
  <c r="AD47" i="10"/>
  <c r="AD49" i="10"/>
  <c r="AD46" i="10"/>
  <c r="AD51" i="10"/>
  <c r="AD54" i="10"/>
  <c r="AD53" i="10"/>
  <c r="AD56" i="10"/>
  <c r="AD57" i="10"/>
  <c r="AD61" i="10"/>
  <c r="AD63" i="10"/>
  <c r="AD64" i="10"/>
  <c r="AD67" i="10"/>
  <c r="AB48" i="10"/>
  <c r="AB50" i="10"/>
  <c r="AB65" i="10"/>
  <c r="AB62" i="10"/>
  <c r="AB68" i="10"/>
  <c r="AB60" i="10"/>
  <c r="AB55" i="10"/>
  <c r="AB66" i="10"/>
  <c r="AB43" i="10"/>
  <c r="AB8" i="10"/>
  <c r="AB13" i="10"/>
  <c r="AB11" i="10"/>
  <c r="AB10" i="10"/>
  <c r="AB9" i="10"/>
  <c r="AB12" i="10"/>
  <c r="AB14" i="10"/>
  <c r="AB15" i="10"/>
  <c r="AB16" i="10"/>
  <c r="AB19" i="10"/>
  <c r="AB17" i="10"/>
  <c r="AB20" i="10"/>
  <c r="AB18" i="10"/>
  <c r="AB23" i="10"/>
  <c r="AB29" i="10"/>
  <c r="AB25" i="10"/>
  <c r="AB30" i="10"/>
  <c r="AB35" i="10"/>
  <c r="AB33" i="10"/>
  <c r="AB32" i="10"/>
  <c r="AB41" i="10"/>
  <c r="AB37" i="10"/>
  <c r="AB38" i="10"/>
  <c r="AB42" i="10"/>
  <c r="AB40" i="10"/>
  <c r="AB39" i="10"/>
  <c r="AB36" i="10"/>
  <c r="AB45" i="10"/>
  <c r="AB47" i="10"/>
  <c r="AB49" i="10"/>
  <c r="AB46" i="10"/>
  <c r="AB51" i="10"/>
  <c r="AB54" i="10"/>
  <c r="AB53" i="10"/>
  <c r="AB56" i="10"/>
  <c r="AB57" i="10"/>
  <c r="AB61" i="10"/>
  <c r="AB63" i="10"/>
  <c r="AB64" i="10"/>
  <c r="AB67" i="10"/>
  <c r="Z48" i="10"/>
  <c r="Z50" i="10"/>
  <c r="Z65" i="10"/>
  <c r="Z62" i="10"/>
  <c r="Z68" i="10"/>
  <c r="Z60" i="10"/>
  <c r="Z55" i="10"/>
  <c r="Z66" i="10"/>
  <c r="Z43" i="10"/>
  <c r="Z5" i="10"/>
  <c r="Z6" i="10"/>
  <c r="Z7" i="10"/>
  <c r="Z8" i="10"/>
  <c r="Z13" i="10"/>
  <c r="Z11" i="10"/>
  <c r="Z10" i="10"/>
  <c r="Z9" i="10"/>
  <c r="Z12" i="10"/>
  <c r="Z14" i="10"/>
  <c r="Z15" i="10"/>
  <c r="Z16" i="10"/>
  <c r="Z19" i="10"/>
  <c r="Z17" i="10"/>
  <c r="Z20" i="10"/>
  <c r="Z18" i="10"/>
  <c r="Z23" i="10"/>
  <c r="Z29" i="10"/>
  <c r="Z25" i="10"/>
  <c r="Z30" i="10"/>
  <c r="Z35" i="10"/>
  <c r="Z33" i="10"/>
  <c r="Z32" i="10"/>
  <c r="Z41" i="10"/>
  <c r="Z37" i="10"/>
  <c r="Z38" i="10"/>
  <c r="Z42" i="10"/>
  <c r="Z40" i="10"/>
  <c r="Z39" i="10"/>
  <c r="Z36" i="10"/>
  <c r="Z45" i="10"/>
  <c r="Z47" i="10"/>
  <c r="Z49" i="10"/>
  <c r="Z46" i="10"/>
  <c r="Z51" i="10"/>
  <c r="Z54" i="10"/>
  <c r="Z53" i="10"/>
  <c r="Z56" i="10"/>
  <c r="Z57" i="10"/>
  <c r="Z61" i="10"/>
  <c r="Z63" i="10"/>
  <c r="Z64" i="10"/>
  <c r="Z67" i="10"/>
  <c r="X10" i="10"/>
  <c r="X9" i="10"/>
  <c r="X12" i="10"/>
  <c r="X14" i="10"/>
  <c r="X15" i="10"/>
  <c r="X16" i="10"/>
  <c r="X19" i="10"/>
  <c r="X17" i="10"/>
  <c r="X21" i="10"/>
  <c r="X22" i="10"/>
  <c r="X20" i="10"/>
  <c r="X24" i="10"/>
  <c r="X18" i="10"/>
  <c r="X23" i="10"/>
  <c r="X26" i="10"/>
  <c r="X27" i="10"/>
  <c r="X28" i="10"/>
  <c r="X31" i="10"/>
  <c r="X29" i="10"/>
  <c r="X25" i="10"/>
  <c r="X30" i="10"/>
  <c r="X34" i="10"/>
  <c r="X35" i="10"/>
  <c r="X33" i="10"/>
  <c r="X32" i="10"/>
  <c r="X41" i="10"/>
  <c r="X37" i="10"/>
  <c r="X38" i="10"/>
  <c r="X42" i="10"/>
  <c r="X40" i="10"/>
  <c r="X39" i="10"/>
  <c r="X36" i="10"/>
  <c r="X44" i="10"/>
  <c r="X47" i="10"/>
  <c r="X52" i="10"/>
  <c r="X49" i="10"/>
  <c r="X46" i="10"/>
  <c r="X51" i="10"/>
  <c r="X54" i="10"/>
  <c r="X57" i="10"/>
  <c r="X61" i="10"/>
  <c r="X63" i="10"/>
  <c r="X64" i="10"/>
  <c r="X67" i="10"/>
  <c r="X48" i="10"/>
  <c r="X50" i="10"/>
  <c r="X65" i="10"/>
  <c r="X62" i="10"/>
  <c r="X68" i="10"/>
  <c r="X60" i="10"/>
  <c r="X55" i="10"/>
  <c r="X66" i="10"/>
  <c r="X43" i="10"/>
  <c r="V8" i="10"/>
  <c r="V13" i="10"/>
  <c r="V11" i="10"/>
  <c r="V10" i="10"/>
  <c r="V9" i="10"/>
  <c r="V12" i="10"/>
  <c r="V14" i="10"/>
  <c r="V15" i="10"/>
  <c r="V16" i="10"/>
  <c r="V19" i="10"/>
  <c r="V17" i="10"/>
  <c r="V21" i="10"/>
  <c r="V22" i="10"/>
  <c r="V20" i="10"/>
  <c r="V24" i="10"/>
  <c r="V18" i="10"/>
  <c r="V23" i="10"/>
  <c r="V26" i="10"/>
  <c r="V27" i="10"/>
  <c r="V28" i="10"/>
  <c r="V31" i="10"/>
  <c r="V29" i="10"/>
  <c r="V25" i="10"/>
  <c r="V30" i="10"/>
  <c r="V34" i="10"/>
  <c r="V35" i="10"/>
  <c r="V33" i="10"/>
  <c r="V32" i="10"/>
  <c r="V41" i="10"/>
  <c r="V37" i="10"/>
  <c r="V38" i="10"/>
  <c r="V42" i="10"/>
  <c r="V40" i="10"/>
  <c r="V39" i="10"/>
  <c r="V36" i="10"/>
  <c r="V44" i="10"/>
  <c r="V47" i="10"/>
  <c r="V52" i="10"/>
  <c r="V49" i="10"/>
  <c r="V46" i="10"/>
  <c r="V51" i="10"/>
  <c r="V54" i="10"/>
  <c r="V57" i="10"/>
  <c r="V61" i="10"/>
  <c r="V63" i="10"/>
  <c r="V64" i="10"/>
  <c r="V67" i="10"/>
  <c r="V48" i="10"/>
  <c r="V50" i="10"/>
  <c r="V65" i="10"/>
  <c r="V62" i="10"/>
  <c r="V68" i="10"/>
  <c r="V60" i="10"/>
  <c r="V55" i="10"/>
  <c r="V66" i="10"/>
  <c r="V43" i="10"/>
  <c r="T2" i="10"/>
  <c r="T5" i="10"/>
  <c r="T6" i="10"/>
  <c r="T7" i="10"/>
  <c r="T8" i="10"/>
  <c r="T13" i="10"/>
  <c r="T11" i="10"/>
  <c r="T10" i="10"/>
  <c r="T9" i="10"/>
  <c r="T12" i="10"/>
  <c r="T14" i="10"/>
  <c r="T15" i="10"/>
  <c r="T16" i="10"/>
  <c r="T19" i="10"/>
  <c r="T17" i="10"/>
  <c r="T21" i="10"/>
  <c r="T22" i="10"/>
  <c r="T20" i="10"/>
  <c r="T24" i="10"/>
  <c r="T18" i="10"/>
  <c r="T23" i="10"/>
  <c r="T26" i="10"/>
  <c r="T27" i="10"/>
  <c r="T28" i="10"/>
  <c r="T31" i="10"/>
  <c r="T29" i="10"/>
  <c r="T25" i="10"/>
  <c r="T30" i="10"/>
  <c r="T34" i="10"/>
  <c r="T35" i="10"/>
  <c r="T33" i="10"/>
  <c r="T32" i="10"/>
  <c r="T41" i="10"/>
  <c r="T37" i="10"/>
  <c r="T38" i="10"/>
  <c r="T42" i="10"/>
  <c r="T40" i="10"/>
  <c r="T39" i="10"/>
  <c r="T36" i="10"/>
  <c r="T44" i="10"/>
  <c r="T47" i="10"/>
  <c r="T52" i="10"/>
  <c r="T49" i="10"/>
  <c r="T46" i="10"/>
  <c r="T51" i="10"/>
  <c r="T54" i="10"/>
  <c r="T57" i="10"/>
  <c r="T61" i="10"/>
  <c r="T63" i="10"/>
  <c r="T64" i="10"/>
  <c r="T67" i="10"/>
  <c r="T48" i="10"/>
  <c r="T50" i="10"/>
  <c r="T65" i="10"/>
  <c r="T62" i="10"/>
  <c r="T68" i="10"/>
  <c r="T60" i="10"/>
  <c r="T55" i="10"/>
  <c r="T66" i="10"/>
  <c r="T43" i="10"/>
  <c r="R48" i="10"/>
  <c r="R50" i="10"/>
  <c r="R65" i="10"/>
  <c r="R62" i="10"/>
  <c r="R68" i="10"/>
  <c r="R60" i="10"/>
  <c r="R55" i="10"/>
  <c r="R66" i="10"/>
  <c r="R43" i="10"/>
  <c r="P48" i="10"/>
  <c r="P50" i="10"/>
  <c r="P65" i="10"/>
  <c r="P62" i="10"/>
  <c r="P68" i="10"/>
  <c r="P60" i="10"/>
  <c r="P55" i="10"/>
  <c r="P66" i="10"/>
  <c r="P43" i="10"/>
  <c r="P11" i="10"/>
  <c r="P10" i="10"/>
  <c r="P9" i="10"/>
  <c r="P12" i="10"/>
  <c r="P14" i="10"/>
  <c r="P15" i="10"/>
  <c r="P16" i="10"/>
  <c r="P19" i="10"/>
  <c r="P17" i="10"/>
  <c r="P21" i="10"/>
  <c r="P22" i="10"/>
  <c r="P20" i="10"/>
  <c r="P24" i="10"/>
  <c r="P18" i="10"/>
  <c r="P23" i="10"/>
  <c r="P26" i="10"/>
  <c r="P27" i="10"/>
  <c r="P28" i="10"/>
  <c r="P31" i="10"/>
  <c r="P29" i="10"/>
  <c r="P25" i="10"/>
  <c r="P30" i="10"/>
  <c r="P34" i="10"/>
  <c r="P35" i="10"/>
  <c r="P33" i="10"/>
  <c r="P32" i="10"/>
  <c r="P41" i="10"/>
  <c r="P37" i="10"/>
  <c r="P38" i="10"/>
  <c r="P42" i="10"/>
  <c r="P40" i="10"/>
  <c r="P39" i="10"/>
  <c r="P36" i="10"/>
  <c r="P44" i="10"/>
  <c r="P45" i="10"/>
  <c r="P47" i="10"/>
  <c r="P52" i="10"/>
  <c r="P49" i="10"/>
  <c r="P46" i="10"/>
  <c r="P51" i="10"/>
  <c r="P54" i="10"/>
  <c r="P53" i="10"/>
  <c r="P56" i="10"/>
  <c r="P57" i="10"/>
  <c r="P61" i="10"/>
  <c r="P63" i="10"/>
  <c r="P64" i="10"/>
  <c r="P67" i="10"/>
  <c r="F74" i="10" l="1"/>
  <c r="F73" i="10"/>
  <c r="F72" i="10"/>
  <c r="F71" i="10"/>
  <c r="D74" i="10"/>
  <c r="D73" i="10"/>
  <c r="D72" i="10"/>
  <c r="M48" i="10"/>
  <c r="N48" i="10" s="1"/>
  <c r="M50" i="10"/>
  <c r="N50" i="10" s="1"/>
  <c r="M65" i="10"/>
  <c r="N65" i="10" s="1"/>
  <c r="M62" i="10"/>
  <c r="M68" i="10"/>
  <c r="N68" i="10" s="1"/>
  <c r="M60" i="10"/>
  <c r="N60" i="10" s="1"/>
  <c r="M55" i="10"/>
  <c r="N55" i="10" s="1"/>
  <c r="M66" i="10"/>
  <c r="M43" i="10"/>
  <c r="N43" i="10" s="1"/>
  <c r="M4" i="10"/>
  <c r="M2" i="10"/>
  <c r="M5" i="10"/>
  <c r="M6" i="10"/>
  <c r="M7" i="10"/>
  <c r="M8" i="10"/>
  <c r="M13" i="10"/>
  <c r="M11" i="10"/>
  <c r="M10" i="10"/>
  <c r="M9" i="10"/>
  <c r="M12" i="10"/>
  <c r="M14" i="10"/>
  <c r="M15" i="10"/>
  <c r="M16" i="10"/>
  <c r="M19" i="10"/>
  <c r="M17" i="10"/>
  <c r="M21" i="10"/>
  <c r="M22" i="10"/>
  <c r="M20" i="10"/>
  <c r="M24" i="10"/>
  <c r="M18" i="10"/>
  <c r="M23" i="10"/>
  <c r="M26" i="10"/>
  <c r="M27" i="10"/>
  <c r="M28" i="10"/>
  <c r="M31" i="10"/>
  <c r="M29" i="10"/>
  <c r="M25" i="10"/>
  <c r="M30" i="10"/>
  <c r="M34" i="10"/>
  <c r="M35" i="10"/>
  <c r="M33" i="10"/>
  <c r="M32" i="10"/>
  <c r="M41" i="10"/>
  <c r="M37" i="10"/>
  <c r="M38" i="10"/>
  <c r="M42" i="10"/>
  <c r="M40" i="10"/>
  <c r="M39" i="10"/>
  <c r="M36" i="10"/>
  <c r="M44" i="10"/>
  <c r="M45" i="10"/>
  <c r="M47" i="10"/>
  <c r="M52" i="10"/>
  <c r="M49" i="10"/>
  <c r="M46" i="10"/>
  <c r="M51" i="10"/>
  <c r="M54" i="10"/>
  <c r="M53" i="10"/>
  <c r="M56" i="10"/>
  <c r="M57" i="10"/>
  <c r="M61" i="10"/>
  <c r="M63" i="10"/>
  <c r="M64" i="10"/>
  <c r="M67" i="10"/>
  <c r="H43" i="10"/>
  <c r="D71" i="10"/>
  <c r="H66" i="10"/>
  <c r="H55" i="10"/>
  <c r="H60" i="10"/>
  <c r="H68" i="10"/>
  <c r="H62" i="10"/>
  <c r="H65" i="10"/>
  <c r="H50" i="10"/>
  <c r="H48" i="10"/>
  <c r="N62" i="10" l="1"/>
  <c r="N66" i="10"/>
  <c r="N58" i="10"/>
  <c r="N59" i="10"/>
  <c r="Q9" i="3" l="1"/>
  <c r="P9" i="3"/>
  <c r="R9" i="3" l="1"/>
  <c r="U3" i="3"/>
  <c r="U4" i="3"/>
  <c r="U5" i="3"/>
  <c r="U6" i="3"/>
  <c r="U8" i="3"/>
  <c r="U7" i="3"/>
  <c r="U9" i="3"/>
  <c r="U10" i="3"/>
  <c r="U11" i="3"/>
  <c r="U12" i="3"/>
  <c r="U13" i="3"/>
  <c r="U15" i="3"/>
  <c r="U14" i="3"/>
  <c r="U16" i="3"/>
  <c r="U38" i="3"/>
  <c r="U37" i="3"/>
  <c r="U40" i="3"/>
  <c r="U41" i="3"/>
  <c r="U43" i="3"/>
  <c r="U45" i="3"/>
  <c r="U2" i="3"/>
  <c r="T3" i="3"/>
  <c r="T4" i="3"/>
  <c r="T5" i="3"/>
  <c r="T6" i="3"/>
  <c r="T8" i="3"/>
  <c r="T7" i="3"/>
  <c r="T9" i="3"/>
  <c r="T10" i="3"/>
  <c r="T11" i="3"/>
  <c r="T12" i="3"/>
  <c r="T13" i="3"/>
  <c r="T15" i="3"/>
  <c r="T14" i="3"/>
  <c r="T16" i="3"/>
  <c r="T38" i="3"/>
  <c r="T37" i="3"/>
  <c r="T40" i="3"/>
  <c r="T41" i="3"/>
  <c r="T43" i="3"/>
  <c r="T45" i="3"/>
  <c r="T2" i="3"/>
  <c r="P16" i="13"/>
  <c r="Q12" i="3"/>
  <c r="P12" i="3"/>
  <c r="Q16" i="3"/>
  <c r="R16" i="3" s="1"/>
  <c r="R3" i="3"/>
  <c r="R12" i="3" l="1"/>
  <c r="O15" i="13"/>
  <c r="O14" i="13"/>
  <c r="R14" i="3" l="1"/>
  <c r="O13" i="13"/>
  <c r="O12" i="13"/>
  <c r="O11" i="13"/>
  <c r="S10" i="13" l="1"/>
  <c r="S9" i="13"/>
  <c r="A9" i="13"/>
  <c r="S8" i="13"/>
  <c r="R7" i="13"/>
  <c r="S7" i="13" s="1"/>
  <c r="A7" i="13"/>
  <c r="A8" i="13" s="1"/>
  <c r="R6" i="13"/>
  <c r="S6" i="13" s="1"/>
  <c r="A6" i="13"/>
  <c r="R5" i="13"/>
  <c r="S5" i="13" s="1"/>
  <c r="A5" i="13"/>
  <c r="Q4" i="13"/>
  <c r="S4" i="13" s="1"/>
  <c r="R2" i="13"/>
  <c r="S2" i="13" s="1"/>
  <c r="A2" i="13"/>
  <c r="A3" i="13" s="1"/>
  <c r="A4" i="13" s="1"/>
  <c r="R3" i="13" l="1"/>
  <c r="S3" i="13" s="1"/>
  <c r="H4" i="10"/>
  <c r="H2" i="10"/>
  <c r="H5" i="10"/>
  <c r="H6" i="10"/>
  <c r="H7" i="10"/>
  <c r="H8" i="10"/>
  <c r="H13" i="10"/>
  <c r="H11" i="10"/>
  <c r="H10" i="10"/>
  <c r="H9" i="10"/>
  <c r="H12" i="10"/>
  <c r="H14" i="10"/>
  <c r="H15" i="10"/>
  <c r="H16" i="10"/>
  <c r="H19" i="10"/>
  <c r="H17" i="10"/>
  <c r="H21" i="10"/>
  <c r="H22" i="10"/>
  <c r="H20" i="10"/>
  <c r="H24" i="10"/>
  <c r="H18" i="10"/>
  <c r="H23" i="10"/>
  <c r="H26" i="10"/>
  <c r="H27" i="10"/>
  <c r="H28" i="10"/>
  <c r="H31" i="10"/>
  <c r="H29" i="10"/>
  <c r="H25" i="10"/>
  <c r="H30" i="10"/>
  <c r="H34" i="10"/>
  <c r="H35" i="10"/>
  <c r="H33" i="10"/>
  <c r="H32" i="10"/>
  <c r="H41" i="10"/>
  <c r="H37" i="10"/>
  <c r="H38" i="10"/>
  <c r="H42" i="10"/>
  <c r="H40" i="10"/>
  <c r="H39" i="10"/>
  <c r="H36" i="10"/>
  <c r="H44" i="10"/>
  <c r="H45" i="10"/>
  <c r="H47" i="10"/>
  <c r="H52" i="10"/>
  <c r="H49" i="10"/>
  <c r="H46" i="10"/>
  <c r="H51" i="10"/>
  <c r="H54" i="10"/>
  <c r="H53" i="10"/>
  <c r="H56" i="10"/>
  <c r="H57" i="10"/>
  <c r="H58" i="10"/>
  <c r="H59" i="10"/>
  <c r="H61" i="10"/>
  <c r="H63" i="10"/>
  <c r="H64" i="10"/>
  <c r="H67" i="10"/>
  <c r="H3" i="10"/>
  <c r="L63" i="10" l="1"/>
  <c r="L4" i="10"/>
  <c r="L2" i="10"/>
  <c r="L5" i="10"/>
  <c r="L13" i="10"/>
  <c r="L6" i="10"/>
  <c r="L22" i="10"/>
  <c r="L21" i="10"/>
  <c r="L24" i="10"/>
  <c r="L12" i="10"/>
  <c r="L11" i="10"/>
  <c r="L7" i="10"/>
  <c r="L19" i="10"/>
  <c r="L8" i="10"/>
  <c r="L10" i="10"/>
  <c r="L27" i="10"/>
  <c r="L26" i="10"/>
  <c r="L14" i="10"/>
  <c r="L9" i="10"/>
  <c r="L15" i="10"/>
  <c r="L28" i="10"/>
  <c r="L31" i="10"/>
  <c r="L16" i="10"/>
  <c r="L20" i="10"/>
  <c r="L41" i="10"/>
  <c r="L23" i="10"/>
  <c r="L18" i="10"/>
  <c r="L17" i="10"/>
  <c r="L29" i="10"/>
  <c r="L34" i="10"/>
  <c r="L30" i="10"/>
  <c r="L37" i="10"/>
  <c r="L25" i="10"/>
  <c r="L35" i="10"/>
  <c r="L33" i="10"/>
  <c r="L32" i="10"/>
  <c r="L42" i="10"/>
  <c r="L44" i="10"/>
  <c r="L36" i="10"/>
  <c r="L38" i="10"/>
  <c r="L40" i="10"/>
  <c r="L52" i="10"/>
  <c r="L58" i="10"/>
  <c r="L39" i="10"/>
  <c r="L45" i="10"/>
  <c r="L59" i="10"/>
  <c r="L49" i="10"/>
  <c r="L46" i="10"/>
  <c r="L47" i="10"/>
  <c r="L53" i="10"/>
  <c r="L51" i="10"/>
  <c r="L54" i="10"/>
  <c r="L56" i="10"/>
  <c r="L57" i="10"/>
  <c r="L61" i="10"/>
  <c r="L67" i="10"/>
  <c r="K63" i="10"/>
  <c r="K4" i="10"/>
  <c r="K2" i="10"/>
  <c r="K5" i="10"/>
  <c r="K13" i="10"/>
  <c r="K6" i="10"/>
  <c r="K22" i="10"/>
  <c r="K21" i="10"/>
  <c r="K24" i="10"/>
  <c r="K12" i="10"/>
  <c r="K11" i="10"/>
  <c r="K7" i="10"/>
  <c r="K19" i="10"/>
  <c r="K8" i="10"/>
  <c r="K10" i="10"/>
  <c r="K27" i="10"/>
  <c r="K26" i="10"/>
  <c r="K14" i="10"/>
  <c r="K9" i="10"/>
  <c r="K15" i="10"/>
  <c r="K28" i="10"/>
  <c r="K31" i="10"/>
  <c r="K16" i="10"/>
  <c r="K20" i="10"/>
  <c r="K41" i="10"/>
  <c r="K23" i="10"/>
  <c r="K18" i="10"/>
  <c r="K17" i="10"/>
  <c r="K29" i="10"/>
  <c r="K34" i="10"/>
  <c r="K30" i="10"/>
  <c r="K37" i="10"/>
  <c r="K25" i="10"/>
  <c r="K35" i="10"/>
  <c r="K33" i="10"/>
  <c r="K32" i="10"/>
  <c r="K42" i="10"/>
  <c r="K44" i="10"/>
  <c r="K36" i="10"/>
  <c r="K38" i="10"/>
  <c r="K40" i="10"/>
  <c r="K52" i="10"/>
  <c r="K58" i="10"/>
  <c r="K39" i="10"/>
  <c r="K45" i="10"/>
  <c r="K59" i="10"/>
  <c r="K49" i="10"/>
  <c r="K46" i="10"/>
  <c r="K47" i="10"/>
  <c r="K53" i="10"/>
  <c r="K51" i="10"/>
  <c r="K54" i="10"/>
  <c r="K56" i="10"/>
  <c r="K57" i="10"/>
  <c r="K61" i="10"/>
  <c r="K67" i="10"/>
  <c r="J4" i="10"/>
  <c r="V14" i="13" s="1"/>
  <c r="J2" i="10"/>
  <c r="Y2" i="3" s="1"/>
  <c r="J5" i="10"/>
  <c r="Y3" i="3" s="1"/>
  <c r="J13" i="10"/>
  <c r="J6" i="10"/>
  <c r="Y4" i="3" s="1"/>
  <c r="J22" i="10"/>
  <c r="J21" i="10"/>
  <c r="W16" i="13" s="1"/>
  <c r="J24" i="10"/>
  <c r="X21" i="13" s="1"/>
  <c r="J12" i="10"/>
  <c r="Y9" i="3" s="1"/>
  <c r="J11" i="10"/>
  <c r="Y8" i="3" s="1"/>
  <c r="J7" i="10"/>
  <c r="Y5" i="3" s="1"/>
  <c r="J19" i="10"/>
  <c r="V12" i="13" s="1"/>
  <c r="J8" i="10"/>
  <c r="Y6" i="3" s="1"/>
  <c r="J10" i="10"/>
  <c r="J27" i="10"/>
  <c r="J26" i="10"/>
  <c r="X22" i="13" s="1"/>
  <c r="J14" i="10"/>
  <c r="Y10" i="3" s="1"/>
  <c r="J9" i="10"/>
  <c r="Y7" i="3" s="1"/>
  <c r="J15" i="10"/>
  <c r="Y11" i="3" s="1"/>
  <c r="J28" i="10"/>
  <c r="X23" i="13" s="1"/>
  <c r="J31" i="10"/>
  <c r="J16" i="10"/>
  <c r="Y12" i="3" s="1"/>
  <c r="J20" i="10"/>
  <c r="Y15" i="3" s="1"/>
  <c r="J41" i="10"/>
  <c r="V15" i="13" s="1"/>
  <c r="J23" i="10"/>
  <c r="Y16" i="3" s="1"/>
  <c r="J18" i="10"/>
  <c r="Y14" i="3" s="1"/>
  <c r="J17" i="10"/>
  <c r="Y13" i="3" s="1"/>
  <c r="J29" i="10"/>
  <c r="Y18" i="3" s="1"/>
  <c r="J34" i="10"/>
  <c r="X24" i="13" s="1"/>
  <c r="J30" i="10"/>
  <c r="Y19" i="3" s="1"/>
  <c r="J37" i="10"/>
  <c r="Y24" i="3" s="1"/>
  <c r="J25" i="10"/>
  <c r="Y17" i="3" s="1"/>
  <c r="J35" i="10"/>
  <c r="Y22" i="3" s="1"/>
  <c r="J33" i="10"/>
  <c r="Y21" i="3" s="1"/>
  <c r="J32" i="10"/>
  <c r="Y20" i="3" s="1"/>
  <c r="J42" i="10"/>
  <c r="Y28" i="3" s="1"/>
  <c r="J44" i="10"/>
  <c r="J36" i="10"/>
  <c r="Y23" i="3" s="1"/>
  <c r="J38" i="10"/>
  <c r="Y25" i="3" s="1"/>
  <c r="J40" i="10"/>
  <c r="Y27" i="3" s="1"/>
  <c r="J52" i="10"/>
  <c r="X25" i="13" s="1"/>
  <c r="J58" i="10"/>
  <c r="J39" i="10"/>
  <c r="Y26" i="3" s="1"/>
  <c r="J45" i="10"/>
  <c r="Y30" i="3" s="1"/>
  <c r="J59" i="10"/>
  <c r="J49" i="10"/>
  <c r="Y34" i="3" s="1"/>
  <c r="J46" i="10"/>
  <c r="Y31" i="3" s="1"/>
  <c r="J47" i="10"/>
  <c r="Y32" i="3" s="1"/>
  <c r="J53" i="10"/>
  <c r="Y37" i="3" s="1"/>
  <c r="J51" i="10"/>
  <c r="Y36" i="3" s="1"/>
  <c r="J54" i="10"/>
  <c r="Y38" i="3" s="1"/>
  <c r="J56" i="10"/>
  <c r="Y40" i="3" s="1"/>
  <c r="J57" i="10"/>
  <c r="Y41" i="3" s="1"/>
  <c r="J61" i="10"/>
  <c r="Y43" i="3" s="1"/>
  <c r="J67" i="10"/>
  <c r="X19" i="13" s="1"/>
  <c r="J63" i="10"/>
  <c r="Y45" i="3" s="1"/>
  <c r="L3" i="10"/>
  <c r="K3" i="10"/>
  <c r="J3" i="10"/>
  <c r="V11" i="13" s="1"/>
  <c r="I4" i="10"/>
  <c r="I2" i="10"/>
  <c r="I5" i="10"/>
  <c r="I13" i="10"/>
  <c r="I6" i="10"/>
  <c r="I22" i="10"/>
  <c r="I21" i="10"/>
  <c r="I24" i="10"/>
  <c r="I12" i="10"/>
  <c r="I11" i="10"/>
  <c r="I7" i="10"/>
  <c r="I19" i="10"/>
  <c r="I8" i="10"/>
  <c r="I10" i="10"/>
  <c r="I27" i="10"/>
  <c r="I26" i="10"/>
  <c r="I14" i="10"/>
  <c r="I9" i="10"/>
  <c r="I15" i="10"/>
  <c r="I28" i="10"/>
  <c r="I31" i="10"/>
  <c r="I16" i="10"/>
  <c r="I20" i="10"/>
  <c r="I41" i="10"/>
  <c r="I23" i="10"/>
  <c r="I18" i="10"/>
  <c r="I17" i="10"/>
  <c r="I29" i="10"/>
  <c r="I34" i="10"/>
  <c r="I30" i="10"/>
  <c r="I37" i="10"/>
  <c r="I25" i="10"/>
  <c r="I35" i="10"/>
  <c r="I33" i="10"/>
  <c r="I32" i="10"/>
  <c r="I42" i="10"/>
  <c r="I44" i="10"/>
  <c r="I36" i="10"/>
  <c r="I38" i="10"/>
  <c r="I40" i="10"/>
  <c r="I52" i="10"/>
  <c r="I58" i="10"/>
  <c r="I39" i="10"/>
  <c r="I45" i="10"/>
  <c r="I59" i="10"/>
  <c r="I49" i="10"/>
  <c r="I46" i="10"/>
  <c r="I47" i="10"/>
  <c r="I53" i="10"/>
  <c r="I51" i="10"/>
  <c r="I54" i="10"/>
  <c r="I56" i="10"/>
  <c r="I57" i="10"/>
  <c r="I61" i="10"/>
  <c r="I67" i="10"/>
  <c r="I63" i="10"/>
  <c r="I3" i="10"/>
  <c r="V13" i="13" l="1"/>
  <c r="I74" i="10"/>
  <c r="L72" i="10"/>
  <c r="J73" i="10"/>
  <c r="K73" i="10"/>
  <c r="K72" i="10"/>
  <c r="J74" i="10"/>
  <c r="L71" i="10"/>
  <c r="I71" i="10"/>
  <c r="I72" i="10"/>
  <c r="J71" i="10"/>
  <c r="K74" i="10"/>
  <c r="L73" i="10"/>
  <c r="I73" i="10"/>
  <c r="J72" i="10"/>
  <c r="K71" i="10"/>
  <c r="L74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75" i="10" l="1"/>
  <c r="I75" i="10"/>
  <c r="K75" i="10"/>
  <c r="J75" i="10"/>
  <c r="E43" i="10"/>
  <c r="R54" i="10"/>
  <c r="N54" i="10"/>
  <c r="R29" i="10"/>
  <c r="N29" i="10"/>
  <c r="R35" i="10"/>
  <c r="N35" i="10"/>
  <c r="R33" i="10"/>
  <c r="N33" i="10"/>
  <c r="R17" i="10"/>
  <c r="N17" i="10"/>
  <c r="AF7" i="10"/>
  <c r="AD7" i="10"/>
  <c r="AB7" i="10"/>
  <c r="X7" i="10"/>
  <c r="V7" i="10"/>
  <c r="R7" i="10"/>
  <c r="P7" i="10"/>
  <c r="N7" i="10"/>
  <c r="R30" i="10"/>
  <c r="N30" i="10"/>
  <c r="R9" i="10"/>
  <c r="N9" i="10"/>
  <c r="R15" i="10"/>
  <c r="N15" i="10"/>
  <c r="AJ6" i="10"/>
  <c r="AH6" i="10"/>
  <c r="AF6" i="10"/>
  <c r="AD6" i="10"/>
  <c r="AB6" i="10"/>
  <c r="X6" i="10"/>
  <c r="V6" i="10"/>
  <c r="R6" i="10"/>
  <c r="P6" i="10"/>
  <c r="N6" i="10"/>
  <c r="R10" i="10"/>
  <c r="N10" i="10"/>
  <c r="R12" i="10"/>
  <c r="N12" i="10"/>
  <c r="R19" i="10"/>
  <c r="N19" i="10"/>
  <c r="R46" i="10"/>
  <c r="N46" i="10"/>
  <c r="R51" i="10"/>
  <c r="N51" i="10"/>
  <c r="R57" i="10"/>
  <c r="N57" i="10"/>
  <c r="R45" i="10"/>
  <c r="N45" i="10"/>
  <c r="R36" i="10"/>
  <c r="N36" i="10"/>
  <c r="R39" i="10"/>
  <c r="N39" i="10"/>
  <c r="R40" i="10"/>
  <c r="N40" i="10"/>
  <c r="R23" i="10"/>
  <c r="N23" i="10"/>
  <c r="R18" i="10"/>
  <c r="N18" i="10"/>
  <c r="R14" i="10"/>
  <c r="N14" i="10"/>
  <c r="R44" i="10"/>
  <c r="N44" i="10"/>
  <c r="R28" i="10"/>
  <c r="N28" i="10"/>
  <c r="AJ5" i="10"/>
  <c r="AH5" i="10"/>
  <c r="AF5" i="10"/>
  <c r="AD5" i="10"/>
  <c r="AB5" i="10"/>
  <c r="X5" i="10"/>
  <c r="V5" i="10"/>
  <c r="R5" i="10"/>
  <c r="P5" i="10"/>
  <c r="N5" i="10"/>
  <c r="R31" i="10"/>
  <c r="N31" i="10"/>
  <c r="R21" i="10"/>
  <c r="N21" i="10"/>
  <c r="R27" i="10"/>
  <c r="N27" i="10"/>
  <c r="R26" i="10"/>
  <c r="N26" i="10"/>
  <c r="R22" i="10"/>
  <c r="N22" i="10"/>
  <c r="R41" i="10"/>
  <c r="N41" i="10"/>
  <c r="AJ4" i="10"/>
  <c r="AH4" i="10"/>
  <c r="AF4" i="10"/>
  <c r="AD4" i="10"/>
  <c r="AB4" i="10"/>
  <c r="Z4" i="10"/>
  <c r="X4" i="10"/>
  <c r="V4" i="10"/>
  <c r="T4" i="10"/>
  <c r="R4" i="10"/>
  <c r="P4" i="10"/>
  <c r="N4" i="10"/>
  <c r="AJ3" i="10"/>
  <c r="AH3" i="10"/>
  <c r="AF3" i="10"/>
  <c r="AD3" i="10"/>
  <c r="AB3" i="10"/>
  <c r="Z3" i="10"/>
  <c r="X3" i="10"/>
  <c r="V3" i="10"/>
  <c r="T3" i="10"/>
  <c r="R3" i="10"/>
  <c r="P3" i="10"/>
  <c r="M3" i="10"/>
  <c r="N3" i="10" s="1"/>
  <c r="R63" i="10"/>
  <c r="N63" i="10"/>
  <c r="R37" i="10"/>
  <c r="N37" i="10"/>
  <c r="R47" i="10"/>
  <c r="N47" i="10"/>
  <c r="R16" i="10"/>
  <c r="N16" i="10"/>
  <c r="R67" i="10"/>
  <c r="N67" i="10"/>
  <c r="R32" i="10"/>
  <c r="N32" i="10"/>
  <c r="R34" i="10"/>
  <c r="N34" i="10"/>
  <c r="R52" i="10"/>
  <c r="N52" i="10"/>
  <c r="R56" i="10"/>
  <c r="N56" i="10"/>
  <c r="R25" i="10"/>
  <c r="N25" i="10"/>
  <c r="R42" i="10"/>
  <c r="N42" i="10"/>
  <c r="R64" i="10"/>
  <c r="N64" i="10"/>
  <c r="R49" i="10"/>
  <c r="N49" i="10"/>
  <c r="R38" i="10"/>
  <c r="N38" i="10"/>
  <c r="R61" i="10"/>
  <c r="N61" i="10"/>
  <c r="R20" i="10"/>
  <c r="N20" i="10"/>
  <c r="X13" i="10"/>
  <c r="R13" i="10"/>
  <c r="P13" i="10"/>
  <c r="N13" i="10"/>
  <c r="AF8" i="10"/>
  <c r="AD8" i="10"/>
  <c r="X8" i="10"/>
  <c r="R8" i="10"/>
  <c r="P8" i="10"/>
  <c r="N8" i="10"/>
  <c r="R24" i="10"/>
  <c r="N24" i="10"/>
  <c r="X11" i="10"/>
  <c r="R11" i="10"/>
  <c r="N11" i="10"/>
  <c r="AJ2" i="10"/>
  <c r="AH2" i="10"/>
  <c r="AF2" i="10"/>
  <c r="AD2" i="10"/>
  <c r="AB2" i="10"/>
  <c r="Z2" i="10"/>
  <c r="X2" i="10"/>
  <c r="V2" i="10"/>
  <c r="R2" i="10"/>
  <c r="P2" i="10"/>
  <c r="N2" i="10"/>
  <c r="R53" i="10"/>
  <c r="N53" i="10"/>
  <c r="T74" i="10" l="1"/>
  <c r="T73" i="10"/>
  <c r="T71" i="10"/>
  <c r="T75" i="10" s="1"/>
  <c r="T72" i="10"/>
  <c r="Z71" i="10"/>
  <c r="Z74" i="10"/>
  <c r="Z72" i="10"/>
  <c r="Z73" i="10"/>
  <c r="R74" i="10"/>
  <c r="S67" i="10" s="1"/>
  <c r="R73" i="10"/>
  <c r="R71" i="10"/>
  <c r="R72" i="10"/>
  <c r="AB74" i="10"/>
  <c r="AB71" i="10"/>
  <c r="AB72" i="10"/>
  <c r="AB73" i="10"/>
  <c r="AJ74" i="10"/>
  <c r="AJ71" i="10"/>
  <c r="AJ72" i="10"/>
  <c r="AJ73" i="10"/>
  <c r="S8" i="10"/>
  <c r="S53" i="10"/>
  <c r="S24" i="10"/>
  <c r="S38" i="10"/>
  <c r="S25" i="10"/>
  <c r="S37" i="10"/>
  <c r="S41" i="10"/>
  <c r="S44" i="10"/>
  <c r="S18" i="10"/>
  <c r="S40" i="10"/>
  <c r="S36" i="10"/>
  <c r="S57" i="10"/>
  <c r="S46" i="10"/>
  <c r="S12" i="10"/>
  <c r="AC6" i="10"/>
  <c r="S9" i="10"/>
  <c r="AC7" i="10"/>
  <c r="S17" i="10"/>
  <c r="S35" i="10"/>
  <c r="S54" i="10"/>
  <c r="P74" i="10"/>
  <c r="Q13" i="10" s="1"/>
  <c r="P72" i="10"/>
  <c r="P71" i="10"/>
  <c r="P73" i="10"/>
  <c r="AH74" i="10"/>
  <c r="AH72" i="10"/>
  <c r="AH71" i="10"/>
  <c r="AH73" i="10"/>
  <c r="V71" i="10"/>
  <c r="V72" i="10"/>
  <c r="V74" i="10"/>
  <c r="V73" i="10"/>
  <c r="S20" i="10"/>
  <c r="S64" i="10"/>
  <c r="S52" i="10"/>
  <c r="S32" i="10"/>
  <c r="S16" i="10"/>
  <c r="S26" i="10"/>
  <c r="S21" i="10"/>
  <c r="X71" i="10"/>
  <c r="X74" i="10"/>
  <c r="Y7" i="10" s="1"/>
  <c r="X72" i="10"/>
  <c r="X73" i="10"/>
  <c r="AF74" i="10"/>
  <c r="AF71" i="10"/>
  <c r="AF75" i="10" s="1"/>
  <c r="AF72" i="10"/>
  <c r="AF73" i="10"/>
  <c r="S11" i="10"/>
  <c r="S13" i="10"/>
  <c r="S6" i="10"/>
  <c r="S7" i="10"/>
  <c r="G66" i="10"/>
  <c r="G43" i="10"/>
  <c r="E62" i="10"/>
  <c r="E66" i="10"/>
  <c r="E65" i="10"/>
  <c r="E55" i="10"/>
  <c r="E68" i="10"/>
  <c r="E60" i="10"/>
  <c r="G60" i="10"/>
  <c r="G68" i="10"/>
  <c r="G55" i="10"/>
  <c r="G65" i="10"/>
  <c r="G62" i="10"/>
  <c r="E50" i="10"/>
  <c r="E48" i="10"/>
  <c r="G48" i="10"/>
  <c r="G50" i="10"/>
  <c r="E5" i="10"/>
  <c r="E59" i="10"/>
  <c r="E28" i="10"/>
  <c r="E18" i="10"/>
  <c r="E45" i="10"/>
  <c r="E24" i="10"/>
  <c r="E40" i="10"/>
  <c r="E30" i="10"/>
  <c r="E2" i="10"/>
  <c r="E6" i="10"/>
  <c r="E23" i="10"/>
  <c r="E47" i="10"/>
  <c r="E31" i="10"/>
  <c r="E63" i="10"/>
  <c r="E35" i="10"/>
  <c r="E14" i="10"/>
  <c r="E4" i="10"/>
  <c r="E11" i="10"/>
  <c r="E42" i="10"/>
  <c r="E61" i="10"/>
  <c r="E15" i="10"/>
  <c r="E49" i="10"/>
  <c r="E32" i="10"/>
  <c r="E19" i="10"/>
  <c r="E34" i="10"/>
  <c r="E52" i="10"/>
  <c r="E57" i="10"/>
  <c r="E33" i="10"/>
  <c r="E13" i="10"/>
  <c r="E51" i="10"/>
  <c r="E39" i="10"/>
  <c r="E22" i="10"/>
  <c r="E20" i="10"/>
  <c r="E37" i="10"/>
  <c r="E54" i="10"/>
  <c r="E16" i="10"/>
  <c r="E21" i="10"/>
  <c r="E56" i="10"/>
  <c r="E12" i="10"/>
  <c r="E7" i="10"/>
  <c r="E38" i="10"/>
  <c r="E3" i="10"/>
  <c r="E58" i="10"/>
  <c r="E41" i="10"/>
  <c r="E9" i="10"/>
  <c r="E26" i="10"/>
  <c r="E44" i="10"/>
  <c r="E36" i="10"/>
  <c r="E64" i="10"/>
  <c r="E29" i="10"/>
  <c r="E10" i="10"/>
  <c r="E67" i="10"/>
  <c r="E8" i="10"/>
  <c r="E25" i="10"/>
  <c r="E46" i="10"/>
  <c r="E27" i="10"/>
  <c r="E53" i="10"/>
  <c r="E17" i="10"/>
  <c r="G4" i="10"/>
  <c r="G22" i="10"/>
  <c r="G26" i="10"/>
  <c r="G11" i="10"/>
  <c r="G44" i="10"/>
  <c r="G42" i="10"/>
  <c r="G45" i="10"/>
  <c r="G2" i="10"/>
  <c r="G19" i="10"/>
  <c r="G12" i="10"/>
  <c r="G8" i="10"/>
  <c r="G6" i="10"/>
  <c r="G34" i="10"/>
  <c r="G7" i="10"/>
  <c r="G25" i="10"/>
  <c r="G23" i="10"/>
  <c r="G52" i="10"/>
  <c r="G38" i="10"/>
  <c r="G46" i="10"/>
  <c r="G47" i="10"/>
  <c r="G57" i="10"/>
  <c r="G3" i="10"/>
  <c r="G5" i="10"/>
  <c r="G24" i="10"/>
  <c r="G27" i="10"/>
  <c r="G31" i="10"/>
  <c r="G15" i="10"/>
  <c r="G14" i="10"/>
  <c r="G16" i="10"/>
  <c r="G33" i="10"/>
  <c r="G29" i="10"/>
  <c r="G58" i="10"/>
  <c r="G40" i="10"/>
  <c r="G53" i="10"/>
  <c r="G49" i="10"/>
  <c r="G63" i="10"/>
  <c r="G28" i="10"/>
  <c r="G18" i="10"/>
  <c r="G36" i="10"/>
  <c r="G54" i="10"/>
  <c r="G13" i="10"/>
  <c r="G21" i="10"/>
  <c r="G10" i="10"/>
  <c r="G41" i="10"/>
  <c r="G9" i="10"/>
  <c r="G30" i="10"/>
  <c r="G17" i="10"/>
  <c r="G32" i="10"/>
  <c r="G35" i="10"/>
  <c r="G59" i="10"/>
  <c r="G39" i="10"/>
  <c r="G56" i="10"/>
  <c r="G51" i="10"/>
  <c r="G67" i="10"/>
  <c r="G20" i="10"/>
  <c r="G37" i="10"/>
  <c r="G61" i="10"/>
  <c r="G64" i="10"/>
  <c r="F75" i="10"/>
  <c r="M74" i="10"/>
  <c r="AD71" i="10"/>
  <c r="AD74" i="10"/>
  <c r="AD73" i="10"/>
  <c r="AD72" i="10"/>
  <c r="AA4" i="10"/>
  <c r="M72" i="10"/>
  <c r="M71" i="10"/>
  <c r="M73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W36" i="10" l="1"/>
  <c r="W40" i="10"/>
  <c r="W46" i="10"/>
  <c r="W65" i="10"/>
  <c r="W66" i="10"/>
  <c r="W22" i="10"/>
  <c r="W30" i="10"/>
  <c r="W14" i="10"/>
  <c r="W21" i="10"/>
  <c r="W23" i="10"/>
  <c r="W53" i="10"/>
  <c r="W19" i="10"/>
  <c r="W37" i="10"/>
  <c r="W54" i="10"/>
  <c r="W57" i="10"/>
  <c r="W48" i="10"/>
  <c r="W38" i="10"/>
  <c r="W44" i="10"/>
  <c r="W50" i="10"/>
  <c r="W43" i="10"/>
  <c r="W41" i="10"/>
  <c r="W25" i="10"/>
  <c r="W32" i="10"/>
  <c r="W45" i="10"/>
  <c r="W59" i="10"/>
  <c r="W20" i="10"/>
  <c r="W39" i="10"/>
  <c r="W62" i="10"/>
  <c r="W60" i="10"/>
  <c r="W9" i="10"/>
  <c r="W64" i="10"/>
  <c r="W67" i="10"/>
  <c r="W68" i="10"/>
  <c r="W11" i="10"/>
  <c r="W52" i="10"/>
  <c r="W49" i="10"/>
  <c r="W61" i="10"/>
  <c r="W56" i="10"/>
  <c r="W13" i="10"/>
  <c r="W29" i="10"/>
  <c r="W58" i="10"/>
  <c r="W17" i="10"/>
  <c r="W18" i="10"/>
  <c r="W31" i="10"/>
  <c r="W47" i="10"/>
  <c r="W10" i="10"/>
  <c r="W16" i="10"/>
  <c r="W15" i="10"/>
  <c r="W27" i="10"/>
  <c r="W55" i="10"/>
  <c r="W51" i="10"/>
  <c r="W8" i="10"/>
  <c r="W12" i="10"/>
  <c r="W35" i="10"/>
  <c r="W26" i="10"/>
  <c r="W33" i="10"/>
  <c r="W42" i="10"/>
  <c r="W63" i="10"/>
  <c r="W24" i="10"/>
  <c r="W28" i="10"/>
  <c r="W34" i="10"/>
  <c r="S51" i="10"/>
  <c r="S63" i="10"/>
  <c r="S29" i="10"/>
  <c r="S30" i="10"/>
  <c r="S23" i="10"/>
  <c r="S47" i="10"/>
  <c r="S49" i="10"/>
  <c r="Y61" i="10"/>
  <c r="Y9" i="10"/>
  <c r="Y14" i="10"/>
  <c r="Y12" i="10"/>
  <c r="Y49" i="10"/>
  <c r="Y35" i="10"/>
  <c r="Y57" i="10"/>
  <c r="Y22" i="10"/>
  <c r="Y66" i="10"/>
  <c r="Y63" i="10"/>
  <c r="Y25" i="10"/>
  <c r="Y32" i="10"/>
  <c r="Y34" i="10"/>
  <c r="Y16" i="10"/>
  <c r="Y33" i="10"/>
  <c r="Y48" i="10"/>
  <c r="Y24" i="10"/>
  <c r="Y10" i="10"/>
  <c r="Y54" i="10"/>
  <c r="Y50" i="10"/>
  <c r="Y41" i="10"/>
  <c r="Y43" i="10"/>
  <c r="Y40" i="10"/>
  <c r="Y60" i="10"/>
  <c r="Y23" i="10"/>
  <c r="Y20" i="10"/>
  <c r="Y38" i="10"/>
  <c r="Y28" i="10"/>
  <c r="Y45" i="10"/>
  <c r="Y58" i="10"/>
  <c r="Y27" i="10"/>
  <c r="Y15" i="10"/>
  <c r="Y51" i="10"/>
  <c r="Y29" i="10"/>
  <c r="Y19" i="10"/>
  <c r="Y18" i="10"/>
  <c r="Y37" i="10"/>
  <c r="Y67" i="10"/>
  <c r="Y44" i="10"/>
  <c r="Y53" i="10"/>
  <c r="Y56" i="10"/>
  <c r="Y64" i="10"/>
  <c r="Y55" i="10"/>
  <c r="Y26" i="10"/>
  <c r="Y36" i="10"/>
  <c r="Y30" i="10"/>
  <c r="Y21" i="10"/>
  <c r="Y17" i="10"/>
  <c r="Y42" i="10"/>
  <c r="Y47" i="10"/>
  <c r="Y31" i="10"/>
  <c r="Y68" i="10"/>
  <c r="Y59" i="10"/>
  <c r="Y52" i="10"/>
  <c r="Y65" i="10"/>
  <c r="Y39" i="10"/>
  <c r="Y62" i="10"/>
  <c r="Y46" i="10"/>
  <c r="Y6" i="10"/>
  <c r="S39" i="10"/>
  <c r="S56" i="10"/>
  <c r="S33" i="10"/>
  <c r="S15" i="10"/>
  <c r="S28" i="10"/>
  <c r="Y13" i="10"/>
  <c r="AG43" i="10"/>
  <c r="AG11" i="10"/>
  <c r="AG61" i="10"/>
  <c r="AG44" i="10"/>
  <c r="AG31" i="10"/>
  <c r="AG24" i="10"/>
  <c r="AG36" i="10"/>
  <c r="AG64" i="10"/>
  <c r="AG66" i="10"/>
  <c r="AG37" i="10"/>
  <c r="AG13" i="10"/>
  <c r="AG16" i="10"/>
  <c r="AG55" i="10"/>
  <c r="AG15" i="10"/>
  <c r="AG49" i="10"/>
  <c r="AG57" i="10"/>
  <c r="AG20" i="10"/>
  <c r="AG59" i="10"/>
  <c r="AG34" i="10"/>
  <c r="AG27" i="10"/>
  <c r="AG52" i="10"/>
  <c r="AG14" i="10"/>
  <c r="AG32" i="10"/>
  <c r="AG63" i="10"/>
  <c r="AG65" i="10"/>
  <c r="AG10" i="10"/>
  <c r="AG39" i="10"/>
  <c r="AG29" i="10"/>
  <c r="AG47" i="10"/>
  <c r="AG60" i="10"/>
  <c r="AG62" i="10"/>
  <c r="AG53" i="10"/>
  <c r="AG21" i="10"/>
  <c r="AG41" i="10"/>
  <c r="AG25" i="10"/>
  <c r="AG54" i="10"/>
  <c r="AG42" i="10"/>
  <c r="AG23" i="10"/>
  <c r="AG19" i="10"/>
  <c r="AG17" i="10"/>
  <c r="AG40" i="10"/>
  <c r="AG50" i="10"/>
  <c r="AG51" i="10"/>
  <c r="AG68" i="10"/>
  <c r="AG46" i="10"/>
  <c r="AG12" i="10"/>
  <c r="AG30" i="10"/>
  <c r="AG33" i="10"/>
  <c r="AG28" i="10"/>
  <c r="AG22" i="10"/>
  <c r="AG26" i="10"/>
  <c r="AG38" i="10"/>
  <c r="AG58" i="10"/>
  <c r="AG67" i="10"/>
  <c r="AG9" i="10"/>
  <c r="AG45" i="10"/>
  <c r="AG48" i="10"/>
  <c r="AG35" i="10"/>
  <c r="AG56" i="10"/>
  <c r="AG18" i="10"/>
  <c r="Y8" i="10"/>
  <c r="AI52" i="10"/>
  <c r="AI44" i="10"/>
  <c r="AI19" i="10"/>
  <c r="AI47" i="10"/>
  <c r="AI31" i="10"/>
  <c r="AI48" i="10"/>
  <c r="AI10" i="10"/>
  <c r="AI45" i="10"/>
  <c r="AI17" i="10"/>
  <c r="AI36" i="10"/>
  <c r="AI49" i="10"/>
  <c r="AI55" i="10"/>
  <c r="AI61" i="10"/>
  <c r="AI7" i="10"/>
  <c r="AI42" i="10"/>
  <c r="AI58" i="10"/>
  <c r="AI59" i="10"/>
  <c r="AI26" i="10"/>
  <c r="AI51" i="10"/>
  <c r="AI34" i="10"/>
  <c r="AI14" i="10"/>
  <c r="AI38" i="10"/>
  <c r="AI39" i="10"/>
  <c r="AI65" i="10"/>
  <c r="AI54" i="10"/>
  <c r="AI60" i="10"/>
  <c r="AI33" i="10"/>
  <c r="AI11" i="10"/>
  <c r="AI23" i="10"/>
  <c r="AI66" i="10"/>
  <c r="AI24" i="10"/>
  <c r="AI21" i="10"/>
  <c r="AI13" i="10"/>
  <c r="AI29" i="10"/>
  <c r="AI57" i="10"/>
  <c r="AI41" i="10"/>
  <c r="AI37" i="10"/>
  <c r="AI64" i="10"/>
  <c r="AI40" i="10"/>
  <c r="AI50" i="10"/>
  <c r="AI16" i="10"/>
  <c r="AI43" i="10"/>
  <c r="AI20" i="10"/>
  <c r="AI62" i="10"/>
  <c r="AI30" i="10"/>
  <c r="AI56" i="10"/>
  <c r="AI27" i="10"/>
  <c r="AI28" i="10"/>
  <c r="AI12" i="10"/>
  <c r="AI35" i="10"/>
  <c r="AI22" i="10"/>
  <c r="AI32" i="10"/>
  <c r="AI63" i="10"/>
  <c r="AI9" i="10"/>
  <c r="AI68" i="10"/>
  <c r="AI15" i="10"/>
  <c r="AI67" i="10"/>
  <c r="AI18" i="10"/>
  <c r="AI46" i="10"/>
  <c r="AI25" i="10"/>
  <c r="AI53" i="10"/>
  <c r="AI8" i="10"/>
  <c r="Q67" i="10"/>
  <c r="Q17" i="10"/>
  <c r="Q12" i="10"/>
  <c r="Q35" i="10"/>
  <c r="Q59" i="10"/>
  <c r="Q40" i="10"/>
  <c r="Q43" i="10"/>
  <c r="Q38" i="10"/>
  <c r="Q62" i="10"/>
  <c r="Q29" i="10"/>
  <c r="Q22" i="10"/>
  <c r="Q55" i="10"/>
  <c r="Q51" i="10"/>
  <c r="Q60" i="10"/>
  <c r="Q48" i="10"/>
  <c r="Q26" i="10"/>
  <c r="Q9" i="10"/>
  <c r="Q65" i="10"/>
  <c r="Q47" i="10"/>
  <c r="Q50" i="10"/>
  <c r="Q31" i="10"/>
  <c r="Q24" i="10"/>
  <c r="Q33" i="10"/>
  <c r="Q58" i="10"/>
  <c r="Q68" i="10"/>
  <c r="Q21" i="10"/>
  <c r="Q32" i="10"/>
  <c r="Q53" i="10"/>
  <c r="Q25" i="10"/>
  <c r="Q52" i="10"/>
  <c r="Q23" i="10"/>
  <c r="Q63" i="10"/>
  <c r="Q28" i="10"/>
  <c r="Q37" i="10"/>
  <c r="Q39" i="10"/>
  <c r="Q64" i="10"/>
  <c r="Q16" i="10"/>
  <c r="Q14" i="10"/>
  <c r="Q27" i="10"/>
  <c r="Q19" i="10"/>
  <c r="Q54" i="10"/>
  <c r="Q41" i="10"/>
  <c r="Q18" i="10"/>
  <c r="Q42" i="10"/>
  <c r="Q20" i="10"/>
  <c r="Q61" i="10"/>
  <c r="Q46" i="10"/>
  <c r="Q36" i="10"/>
  <c r="Q34" i="10"/>
  <c r="Q10" i="10"/>
  <c r="Q44" i="10"/>
  <c r="Q66" i="10"/>
  <c r="Q15" i="10"/>
  <c r="Q45" i="10"/>
  <c r="Q30" i="10"/>
  <c r="Q56" i="10"/>
  <c r="Q49" i="10"/>
  <c r="Q57" i="10"/>
  <c r="Q11" i="10"/>
  <c r="AK21" i="10"/>
  <c r="AK11" i="10"/>
  <c r="AK27" i="10"/>
  <c r="AK54" i="10"/>
  <c r="AK34" i="10"/>
  <c r="AK56" i="10"/>
  <c r="AK49" i="10"/>
  <c r="AK64" i="10"/>
  <c r="AK66" i="10"/>
  <c r="AK8" i="10"/>
  <c r="AK7" i="10"/>
  <c r="AK16" i="10"/>
  <c r="AK61" i="10"/>
  <c r="AK63" i="10"/>
  <c r="AK55" i="10"/>
  <c r="AK12" i="10"/>
  <c r="AK28" i="10"/>
  <c r="AK14" i="10"/>
  <c r="AK25" i="10"/>
  <c r="AK58" i="10"/>
  <c r="AK41" i="10"/>
  <c r="AK47" i="10"/>
  <c r="AK60" i="10"/>
  <c r="AK9" i="10"/>
  <c r="AK40" i="10"/>
  <c r="AK19" i="10"/>
  <c r="AK48" i="10"/>
  <c r="AK29" i="10"/>
  <c r="AK15" i="10"/>
  <c r="AK10" i="10"/>
  <c r="AK32" i="10"/>
  <c r="AK43" i="10"/>
  <c r="AK44" i="10"/>
  <c r="AK17" i="10"/>
  <c r="AK33" i="10"/>
  <c r="AK22" i="10"/>
  <c r="AK26" i="10"/>
  <c r="AK62" i="10"/>
  <c r="AK20" i="10"/>
  <c r="AK68" i="10"/>
  <c r="AK39" i="10"/>
  <c r="AK30" i="10"/>
  <c r="AK36" i="10"/>
  <c r="AK57" i="10"/>
  <c r="AK45" i="10"/>
  <c r="AK23" i="10"/>
  <c r="AK42" i="10"/>
  <c r="AK59" i="10"/>
  <c r="AK24" i="10"/>
  <c r="AK52" i="10"/>
  <c r="AK31" i="10"/>
  <c r="AK50" i="10"/>
  <c r="AK18" i="10"/>
  <c r="AK38" i="10"/>
  <c r="AK51" i="10"/>
  <c r="AK35" i="10"/>
  <c r="AK53" i="10"/>
  <c r="AK65" i="10"/>
  <c r="AK13" i="10"/>
  <c r="AK37" i="10"/>
  <c r="AK46" i="10"/>
  <c r="AK67" i="10"/>
  <c r="AC36" i="10"/>
  <c r="AC46" i="10"/>
  <c r="AC9" i="10"/>
  <c r="AC15" i="10"/>
  <c r="AC56" i="10"/>
  <c r="AC16" i="10"/>
  <c r="AC45" i="10"/>
  <c r="AC52" i="10"/>
  <c r="AC28" i="10"/>
  <c r="AC12" i="10"/>
  <c r="AC37" i="10"/>
  <c r="AC57" i="10"/>
  <c r="AC22" i="10"/>
  <c r="AC14" i="10"/>
  <c r="AC42" i="10"/>
  <c r="AC53" i="10"/>
  <c r="AC30" i="10"/>
  <c r="AC68" i="10"/>
  <c r="AC41" i="10"/>
  <c r="AC61" i="10"/>
  <c r="AC43" i="10"/>
  <c r="AC40" i="10"/>
  <c r="AC58" i="10"/>
  <c r="AC44" i="10"/>
  <c r="AC19" i="10"/>
  <c r="AC39" i="10"/>
  <c r="AC63" i="10"/>
  <c r="AC31" i="10"/>
  <c r="AC38" i="10"/>
  <c r="AC49" i="10"/>
  <c r="AC23" i="10"/>
  <c r="AC66" i="10"/>
  <c r="AC25" i="10"/>
  <c r="AC55" i="10"/>
  <c r="AC11" i="10"/>
  <c r="AC32" i="10"/>
  <c r="AC62" i="10"/>
  <c r="AC24" i="10"/>
  <c r="AC59" i="10"/>
  <c r="AC20" i="10"/>
  <c r="AC47" i="10"/>
  <c r="AC50" i="10"/>
  <c r="AC34" i="10"/>
  <c r="AC64" i="10"/>
  <c r="AC18" i="10"/>
  <c r="AC8" i="10"/>
  <c r="AC29" i="10"/>
  <c r="AC67" i="10"/>
  <c r="AC17" i="10"/>
  <c r="AC33" i="10"/>
  <c r="AC65" i="10"/>
  <c r="AC48" i="10"/>
  <c r="AC27" i="10"/>
  <c r="AC21" i="10"/>
  <c r="AC13" i="10"/>
  <c r="AC35" i="10"/>
  <c r="AC51" i="10"/>
  <c r="AC60" i="10"/>
  <c r="AC26" i="10"/>
  <c r="AC10" i="10"/>
  <c r="AC54" i="10"/>
  <c r="S60" i="10"/>
  <c r="S58" i="10"/>
  <c r="S43" i="10"/>
  <c r="S68" i="10"/>
  <c r="S66" i="10"/>
  <c r="S55" i="10"/>
  <c r="S50" i="10"/>
  <c r="S48" i="10"/>
  <c r="S59" i="10"/>
  <c r="S62" i="10"/>
  <c r="S65" i="10"/>
  <c r="S14" i="10"/>
  <c r="S61" i="10"/>
  <c r="AA43" i="10"/>
  <c r="AA6" i="10"/>
  <c r="AA11" i="10"/>
  <c r="AA15" i="10"/>
  <c r="AA53" i="10"/>
  <c r="AA33" i="10"/>
  <c r="AA67" i="10"/>
  <c r="AA61" i="10"/>
  <c r="AA45" i="10"/>
  <c r="AA56" i="10"/>
  <c r="AA8" i="10"/>
  <c r="AA10" i="10"/>
  <c r="AA27" i="10"/>
  <c r="AA28" i="10"/>
  <c r="AA19" i="10"/>
  <c r="AA37" i="10"/>
  <c r="AA50" i="10"/>
  <c r="AA12" i="10"/>
  <c r="AA14" i="10"/>
  <c r="AA25" i="10"/>
  <c r="AA23" i="10"/>
  <c r="AA36" i="10"/>
  <c r="AA68" i="10"/>
  <c r="AA54" i="10"/>
  <c r="AA62" i="10"/>
  <c r="AA30" i="10"/>
  <c r="AA18" i="10"/>
  <c r="AA52" i="10"/>
  <c r="AA44" i="10"/>
  <c r="AA20" i="10"/>
  <c r="AA39" i="10"/>
  <c r="AA22" i="10"/>
  <c r="AA51" i="10"/>
  <c r="AA38" i="10"/>
  <c r="AA48" i="10"/>
  <c r="AA29" i="10"/>
  <c r="AA42" i="10"/>
  <c r="AA16" i="10"/>
  <c r="AA46" i="10"/>
  <c r="AA21" i="10"/>
  <c r="AA35" i="10"/>
  <c r="AA34" i="10"/>
  <c r="AA65" i="10"/>
  <c r="AA41" i="10"/>
  <c r="AA17" i="10"/>
  <c r="AA49" i="10"/>
  <c r="AA59" i="10"/>
  <c r="AA47" i="10"/>
  <c r="AA63" i="10"/>
  <c r="AA64" i="10"/>
  <c r="AA7" i="10"/>
  <c r="AA24" i="10"/>
  <c r="AA13" i="10"/>
  <c r="AA57" i="10"/>
  <c r="AA60" i="10"/>
  <c r="AA66" i="10"/>
  <c r="AA32" i="10"/>
  <c r="AA5" i="10"/>
  <c r="AA58" i="10"/>
  <c r="AA26" i="10"/>
  <c r="AA31" i="10"/>
  <c r="AA9" i="10"/>
  <c r="AA55" i="10"/>
  <c r="AA40" i="10"/>
  <c r="AG7" i="10"/>
  <c r="S19" i="10"/>
  <c r="S27" i="10"/>
  <c r="S34" i="10"/>
  <c r="AG8" i="10"/>
  <c r="Q7" i="10"/>
  <c r="S10" i="10"/>
  <c r="S31" i="10"/>
  <c r="Q8" i="10"/>
  <c r="W7" i="10"/>
  <c r="S45" i="10"/>
  <c r="S22" i="10"/>
  <c r="U40" i="10"/>
  <c r="U31" i="10"/>
  <c r="U23" i="10"/>
  <c r="U32" i="10"/>
  <c r="U53" i="10"/>
  <c r="U13" i="10"/>
  <c r="U26" i="10"/>
  <c r="U39" i="10"/>
  <c r="U50" i="10"/>
  <c r="U34" i="10"/>
  <c r="U46" i="10"/>
  <c r="U51" i="10"/>
  <c r="U66" i="10"/>
  <c r="U33" i="10"/>
  <c r="U28" i="10"/>
  <c r="U9" i="10"/>
  <c r="U52" i="10"/>
  <c r="U11" i="10"/>
  <c r="U22" i="10"/>
  <c r="U59" i="10"/>
  <c r="U12" i="10"/>
  <c r="U29" i="10"/>
  <c r="U57" i="10"/>
  <c r="U24" i="10"/>
  <c r="U54" i="10"/>
  <c r="U14" i="10"/>
  <c r="U41" i="10"/>
  <c r="U21" i="10"/>
  <c r="U68" i="10"/>
  <c r="U62" i="10"/>
  <c r="U16" i="10"/>
  <c r="U38" i="10"/>
  <c r="U55" i="10"/>
  <c r="U27" i="10"/>
  <c r="U10" i="10"/>
  <c r="U45" i="10"/>
  <c r="U19" i="10"/>
  <c r="U35" i="10"/>
  <c r="U58" i="10"/>
  <c r="U18" i="10"/>
  <c r="U49" i="10"/>
  <c r="U25" i="10"/>
  <c r="U15" i="10"/>
  <c r="U7" i="10"/>
  <c r="U47" i="10"/>
  <c r="U48" i="10"/>
  <c r="U60" i="10"/>
  <c r="U8" i="10"/>
  <c r="U42" i="10"/>
  <c r="U36" i="10"/>
  <c r="U44" i="10"/>
  <c r="U56" i="10"/>
  <c r="U20" i="10"/>
  <c r="U37" i="10"/>
  <c r="U65" i="10"/>
  <c r="U30" i="10"/>
  <c r="U61" i="10"/>
  <c r="U67" i="10"/>
  <c r="U43" i="10"/>
  <c r="U64" i="10"/>
  <c r="U17" i="10"/>
  <c r="U63" i="10"/>
  <c r="S42" i="10"/>
  <c r="Y11" i="10"/>
  <c r="M75" i="10"/>
  <c r="AD75" i="10"/>
  <c r="AE6" i="10"/>
  <c r="AE24" i="10"/>
  <c r="AM24" i="10" s="1"/>
  <c r="AE27" i="10"/>
  <c r="AE52" i="10"/>
  <c r="AM52" i="10" s="1"/>
  <c r="AE58" i="10"/>
  <c r="AM58" i="10" s="1"/>
  <c r="AE7" i="10"/>
  <c r="AM7" i="10" s="1"/>
  <c r="AE21" i="10"/>
  <c r="AE28" i="10"/>
  <c r="AM28" i="10" s="1"/>
  <c r="AE44" i="10"/>
  <c r="AM44" i="10" s="1"/>
  <c r="AE59" i="10"/>
  <c r="AM59" i="10" s="1"/>
  <c r="AE8" i="10"/>
  <c r="AE22" i="10"/>
  <c r="AM22" i="10" s="1"/>
  <c r="AE31" i="10"/>
  <c r="AM31" i="10" s="1"/>
  <c r="AE34" i="10"/>
  <c r="AM34" i="10" s="1"/>
  <c r="AE13" i="10"/>
  <c r="AM13" i="10" s="1"/>
  <c r="AE12" i="10"/>
  <c r="AM12" i="10" s="1"/>
  <c r="AE19" i="10"/>
  <c r="AM19" i="10" s="1"/>
  <c r="AE20" i="10"/>
  <c r="AM20" i="10" s="1"/>
  <c r="AE26" i="10"/>
  <c r="AM26" i="10" s="1"/>
  <c r="AE35" i="10"/>
  <c r="AM35" i="10" s="1"/>
  <c r="AE37" i="10"/>
  <c r="AM37" i="10" s="1"/>
  <c r="AE39" i="10"/>
  <c r="AM39" i="10" s="1"/>
  <c r="AE47" i="10"/>
  <c r="AM47" i="10" s="1"/>
  <c r="AE51" i="10"/>
  <c r="AM51" i="10" s="1"/>
  <c r="AE57" i="10"/>
  <c r="AM57" i="10" s="1"/>
  <c r="AE63" i="10"/>
  <c r="AM63" i="10" s="1"/>
  <c r="AE50" i="10"/>
  <c r="AM50" i="10" s="1"/>
  <c r="AE60" i="10"/>
  <c r="AM60" i="10" s="1"/>
  <c r="AE36" i="10"/>
  <c r="AM36" i="10" s="1"/>
  <c r="AE49" i="10"/>
  <c r="AM49" i="10" s="1"/>
  <c r="AE33" i="10"/>
  <c r="AM33" i="10" s="1"/>
  <c r="AE54" i="10"/>
  <c r="AM54" i="10" s="1"/>
  <c r="AE18" i="10"/>
  <c r="AM18" i="10" s="1"/>
  <c r="AE68" i="10"/>
  <c r="AM68" i="10" s="1"/>
  <c r="AE17" i="10"/>
  <c r="AM17" i="10" s="1"/>
  <c r="AE42" i="10"/>
  <c r="AM42" i="10" s="1"/>
  <c r="AE10" i="10"/>
  <c r="AM10" i="10" s="1"/>
  <c r="AE61" i="10"/>
  <c r="AM61" i="10" s="1"/>
  <c r="AE29" i="10"/>
  <c r="AM29" i="10" s="1"/>
  <c r="AE23" i="10"/>
  <c r="AM23" i="10" s="1"/>
  <c r="AE14" i="10"/>
  <c r="AM14" i="10" s="1"/>
  <c r="AE40" i="10"/>
  <c r="AM40" i="10" s="1"/>
  <c r="AE16" i="10"/>
  <c r="AM16" i="10" s="1"/>
  <c r="AE48" i="10"/>
  <c r="AM48" i="10" s="1"/>
  <c r="AE55" i="10"/>
  <c r="AM55" i="10" s="1"/>
  <c r="AE32" i="10"/>
  <c r="AM32" i="10" s="1"/>
  <c r="AE66" i="10"/>
  <c r="AM66" i="10" s="1"/>
  <c r="AE46" i="10"/>
  <c r="AM46" i="10" s="1"/>
  <c r="AE43" i="10"/>
  <c r="AM43" i="10" s="1"/>
  <c r="AE38" i="10"/>
  <c r="AM38" i="10" s="1"/>
  <c r="AE15" i="10"/>
  <c r="AM15" i="10" s="1"/>
  <c r="AE11" i="10"/>
  <c r="AM11" i="10" s="1"/>
  <c r="AE64" i="10"/>
  <c r="AM64" i="10" s="1"/>
  <c r="AE65" i="10"/>
  <c r="AM65" i="10" s="1"/>
  <c r="AE41" i="10"/>
  <c r="AM41" i="10" s="1"/>
  <c r="AE9" i="10"/>
  <c r="AM9" i="10" s="1"/>
  <c r="AE56" i="10"/>
  <c r="AM56" i="10" s="1"/>
  <c r="AE67" i="10"/>
  <c r="AM67" i="10" s="1"/>
  <c r="AE25" i="10"/>
  <c r="AM25" i="10" s="1"/>
  <c r="AE62" i="10"/>
  <c r="AM62" i="10" s="1"/>
  <c r="AE53" i="10"/>
  <c r="AM53" i="10" s="1"/>
  <c r="AE30" i="10"/>
  <c r="AM30" i="10" s="1"/>
  <c r="AE45" i="10"/>
  <c r="AM45" i="10" s="1"/>
  <c r="O58" i="10"/>
  <c r="AL58" i="10" s="1"/>
  <c r="AN58" i="10" s="1"/>
  <c r="O64" i="10"/>
  <c r="AL64" i="10" s="1"/>
  <c r="AN64" i="10" s="1"/>
  <c r="O65" i="10"/>
  <c r="AL65" i="10" s="1"/>
  <c r="O55" i="10"/>
  <c r="AL55" i="10" s="1"/>
  <c r="O7" i="10"/>
  <c r="O10" i="10"/>
  <c r="AL10" i="10" s="1"/>
  <c r="AN10" i="10" s="1"/>
  <c r="O15" i="10"/>
  <c r="AL15" i="10" s="1"/>
  <c r="AN15" i="10" s="1"/>
  <c r="O21" i="10"/>
  <c r="AL21" i="10" s="1"/>
  <c r="AN21" i="10" s="1"/>
  <c r="O18" i="10"/>
  <c r="AL18" i="10" s="1"/>
  <c r="AN18" i="10" s="1"/>
  <c r="O28" i="10"/>
  <c r="AL28" i="10" s="1"/>
  <c r="O30" i="10"/>
  <c r="AL30" i="10" s="1"/>
  <c r="O32" i="10"/>
  <c r="AL32" i="10" s="1"/>
  <c r="O42" i="10"/>
  <c r="AL42" i="10" s="1"/>
  <c r="O44" i="10"/>
  <c r="AL44" i="10" s="1"/>
  <c r="AN44" i="10" s="1"/>
  <c r="O49" i="10"/>
  <c r="AL49" i="10" s="1"/>
  <c r="O53" i="10"/>
  <c r="AL53" i="10" s="1"/>
  <c r="AN53" i="10" s="1"/>
  <c r="O50" i="10"/>
  <c r="AL50" i="10" s="1"/>
  <c r="O59" i="10"/>
  <c r="AL59" i="10" s="1"/>
  <c r="AN59" i="10" s="1"/>
  <c r="O67" i="10"/>
  <c r="AL67" i="10" s="1"/>
  <c r="O62" i="10"/>
  <c r="AL62" i="10" s="1"/>
  <c r="O66" i="10"/>
  <c r="AL66" i="10" s="1"/>
  <c r="O8" i="10"/>
  <c r="O9" i="10"/>
  <c r="AL9" i="10" s="1"/>
  <c r="AN9" i="10" s="1"/>
  <c r="O16" i="10"/>
  <c r="AL16" i="10" s="1"/>
  <c r="AN16" i="10" s="1"/>
  <c r="O22" i="10"/>
  <c r="AL22" i="10" s="1"/>
  <c r="AN22" i="10" s="1"/>
  <c r="O23" i="10"/>
  <c r="AL23" i="10" s="1"/>
  <c r="AN23" i="10" s="1"/>
  <c r="O31" i="10"/>
  <c r="AL31" i="10" s="1"/>
  <c r="AN31" i="10" s="1"/>
  <c r="O34" i="10"/>
  <c r="AL34" i="10" s="1"/>
  <c r="O41" i="10"/>
  <c r="AL41" i="10" s="1"/>
  <c r="AN41" i="10" s="1"/>
  <c r="O40" i="10"/>
  <c r="AL40" i="10" s="1"/>
  <c r="O45" i="10"/>
  <c r="AL45" i="10" s="1"/>
  <c r="O46" i="10"/>
  <c r="AL46" i="10" s="1"/>
  <c r="O56" i="10"/>
  <c r="AL56" i="10" s="1"/>
  <c r="AN56" i="10" s="1"/>
  <c r="O61" i="10"/>
  <c r="AL61" i="10" s="1"/>
  <c r="AN61" i="10" s="1"/>
  <c r="O48" i="10"/>
  <c r="AL48" i="10" s="1"/>
  <c r="O68" i="10"/>
  <c r="AL68" i="10" s="1"/>
  <c r="O43" i="10"/>
  <c r="AL43" i="10" s="1"/>
  <c r="O13" i="10"/>
  <c r="AL13" i="10" s="1"/>
  <c r="AN13" i="10" s="1"/>
  <c r="O12" i="10"/>
  <c r="AL12" i="10" s="1"/>
  <c r="AN12" i="10" s="1"/>
  <c r="O19" i="10"/>
  <c r="AL19" i="10" s="1"/>
  <c r="AN19" i="10" s="1"/>
  <c r="O20" i="10"/>
  <c r="AL20" i="10" s="1"/>
  <c r="AN20" i="10" s="1"/>
  <c r="O26" i="10"/>
  <c r="AL26" i="10" s="1"/>
  <c r="O29" i="10"/>
  <c r="AL29" i="10" s="1"/>
  <c r="O35" i="10"/>
  <c r="AL35" i="10" s="1"/>
  <c r="O37" i="10"/>
  <c r="AL37" i="10" s="1"/>
  <c r="O39" i="10"/>
  <c r="AL39" i="10" s="1"/>
  <c r="O47" i="10"/>
  <c r="AL47" i="10" s="1"/>
  <c r="O51" i="10"/>
  <c r="AL51" i="10" s="1"/>
  <c r="O57" i="10"/>
  <c r="AL57" i="10" s="1"/>
  <c r="AN57" i="10" s="1"/>
  <c r="O63" i="10"/>
  <c r="AL63" i="10" s="1"/>
  <c r="AN63" i="10" s="1"/>
  <c r="O60" i="10"/>
  <c r="AL60" i="10" s="1"/>
  <c r="O6" i="10"/>
  <c r="O11" i="10"/>
  <c r="AL11" i="10" s="1"/>
  <c r="AN11" i="10" s="1"/>
  <c r="O14" i="10"/>
  <c r="AL14" i="10" s="1"/>
  <c r="AN14" i="10" s="1"/>
  <c r="O17" i="10"/>
  <c r="AL17" i="10" s="1"/>
  <c r="AN17" i="10" s="1"/>
  <c r="O24" i="10"/>
  <c r="AL24" i="10" s="1"/>
  <c r="O27" i="10"/>
  <c r="AL27" i="10" s="1"/>
  <c r="AN27" i="10" s="1"/>
  <c r="O25" i="10"/>
  <c r="AL25" i="10" s="1"/>
  <c r="O33" i="10"/>
  <c r="AL33" i="10" s="1"/>
  <c r="O38" i="10"/>
  <c r="AL38" i="10" s="1"/>
  <c r="O36" i="10"/>
  <c r="AL36" i="10" s="1"/>
  <c r="O52" i="10"/>
  <c r="AL52" i="10" s="1"/>
  <c r="O54" i="10"/>
  <c r="AL54" i="10" s="1"/>
  <c r="AN54" i="10" s="1"/>
  <c r="O4" i="10"/>
  <c r="O5" i="10"/>
  <c r="O2" i="10"/>
  <c r="S4" i="10"/>
  <c r="AK2" i="10"/>
  <c r="S3" i="10"/>
  <c r="AK6" i="10"/>
  <c r="W2" i="10"/>
  <c r="AE3" i="10"/>
  <c r="AK3" i="10"/>
  <c r="S2" i="10"/>
  <c r="Q4" i="10"/>
  <c r="AI4" i="10"/>
  <c r="AI5" i="10"/>
  <c r="AI3" i="10"/>
  <c r="AI2" i="10"/>
  <c r="AI6" i="10"/>
  <c r="Q3" i="10"/>
  <c r="Q6" i="10"/>
  <c r="Q2" i="10"/>
  <c r="O3" i="10"/>
  <c r="Q5" i="10"/>
  <c r="S5" i="10"/>
  <c r="AE5" i="10"/>
  <c r="AK4" i="10"/>
  <c r="AK5" i="10"/>
  <c r="AG3" i="10"/>
  <c r="U2" i="10"/>
  <c r="Y2" i="10"/>
  <c r="AE4" i="10"/>
  <c r="W3" i="10"/>
  <c r="AC2" i="10"/>
  <c r="AC3" i="10"/>
  <c r="AG5" i="10"/>
  <c r="U6" i="10"/>
  <c r="W5" i="10"/>
  <c r="AC5" i="10"/>
  <c r="AG4" i="10"/>
  <c r="Y3" i="10"/>
  <c r="W4" i="10"/>
  <c r="AC4" i="10"/>
  <c r="U3" i="10"/>
  <c r="AG6" i="10"/>
  <c r="W6" i="10"/>
  <c r="Y5" i="10"/>
  <c r="U5" i="10"/>
  <c r="Y4" i="10"/>
  <c r="AE2" i="10"/>
  <c r="AG2" i="10"/>
  <c r="U4" i="10"/>
  <c r="AA2" i="10"/>
  <c r="AA3" i="10"/>
  <c r="R75" i="10"/>
  <c r="AB75" i="10"/>
  <c r="AH75" i="10"/>
  <c r="P75" i="10"/>
  <c r="X75" i="10"/>
  <c r="V75" i="10"/>
  <c r="Z75" i="10"/>
  <c r="AJ75" i="10"/>
  <c r="G43" i="6"/>
  <c r="G14" i="6"/>
  <c r="G58" i="6"/>
  <c r="G8" i="6"/>
  <c r="G38" i="6"/>
  <c r="G46" i="6"/>
  <c r="G25" i="6"/>
  <c r="G19" i="6"/>
  <c r="G20" i="6"/>
  <c r="G5" i="6"/>
  <c r="G57" i="6"/>
  <c r="G18" i="6"/>
  <c r="G22" i="6"/>
  <c r="G56" i="6"/>
  <c r="G28" i="6"/>
  <c r="G48" i="6"/>
  <c r="G50" i="6"/>
  <c r="G51" i="6"/>
  <c r="G16" i="6"/>
  <c r="G26" i="6"/>
  <c r="G53" i="6"/>
  <c r="G41" i="6"/>
  <c r="G40" i="6"/>
  <c r="G31" i="6"/>
  <c r="G2" i="6"/>
  <c r="G11" i="6"/>
  <c r="G30" i="6"/>
  <c r="G35" i="6"/>
  <c r="G42" i="6"/>
  <c r="G17" i="6"/>
  <c r="G33" i="6"/>
  <c r="G45" i="6"/>
  <c r="G21" i="6"/>
  <c r="G6" i="6"/>
  <c r="G15" i="6"/>
  <c r="G24" i="6"/>
  <c r="G27" i="6"/>
  <c r="G44" i="6"/>
  <c r="G32" i="6"/>
  <c r="G52" i="6"/>
  <c r="G29" i="6"/>
  <c r="G9" i="6"/>
  <c r="G3" i="6"/>
  <c r="G37" i="6"/>
  <c r="G7" i="6"/>
  <c r="G12" i="6"/>
  <c r="G23" i="6"/>
  <c r="G10" i="6"/>
  <c r="G34" i="6"/>
  <c r="G55" i="6"/>
  <c r="AN38" i="10" l="1"/>
  <c r="X25" i="3"/>
  <c r="AN24" i="10"/>
  <c r="W21" i="13"/>
  <c r="AN51" i="10"/>
  <c r="X36" i="3"/>
  <c r="AN35" i="10"/>
  <c r="X22" i="3"/>
  <c r="AN68" i="10"/>
  <c r="W20" i="13"/>
  <c r="AN46" i="10"/>
  <c r="X31" i="3"/>
  <c r="AN34" i="10"/>
  <c r="W24" i="13"/>
  <c r="AN62" i="10"/>
  <c r="X44" i="3"/>
  <c r="AN32" i="10"/>
  <c r="X20" i="3"/>
  <c r="AN55" i="10"/>
  <c r="X39" i="3"/>
  <c r="AM8" i="10"/>
  <c r="AM21" i="10"/>
  <c r="AM27" i="10"/>
  <c r="AN33" i="10"/>
  <c r="X21" i="3"/>
  <c r="AN60" i="10"/>
  <c r="X42" i="3"/>
  <c r="AN47" i="10"/>
  <c r="X32" i="3"/>
  <c r="AN29" i="10"/>
  <c r="X18" i="3"/>
  <c r="AN48" i="10"/>
  <c r="X33" i="3"/>
  <c r="AN45" i="10"/>
  <c r="X30" i="3"/>
  <c r="AN67" i="10"/>
  <c r="W19" i="13"/>
  <c r="AN49" i="10"/>
  <c r="X34" i="3"/>
  <c r="AN30" i="10"/>
  <c r="X19" i="3"/>
  <c r="AN65" i="10"/>
  <c r="W17" i="13"/>
  <c r="AN52" i="10"/>
  <c r="W25" i="13"/>
  <c r="AN25" i="10"/>
  <c r="X17" i="3"/>
  <c r="AN39" i="10"/>
  <c r="X26" i="3"/>
  <c r="AN26" i="10"/>
  <c r="W22" i="13"/>
  <c r="AN40" i="10"/>
  <c r="X27" i="3"/>
  <c r="AN28" i="10"/>
  <c r="W23" i="13"/>
  <c r="AN36" i="10"/>
  <c r="X23" i="3"/>
  <c r="AN37" i="10"/>
  <c r="X24" i="3"/>
  <c r="AN43" i="10"/>
  <c r="X29" i="3"/>
  <c r="AN66" i="10"/>
  <c r="W18" i="13"/>
  <c r="AN50" i="10"/>
  <c r="X35" i="3"/>
  <c r="AN42" i="10"/>
  <c r="X28" i="3"/>
  <c r="G59" i="6"/>
  <c r="H48" i="6" s="1"/>
  <c r="AL3" i="10"/>
  <c r="AN3" i="10" s="1"/>
  <c r="AL5" i="10"/>
  <c r="AN5" i="10" s="1"/>
  <c r="U12" i="13"/>
  <c r="AL7" i="10"/>
  <c r="AN7" i="10" s="1"/>
  <c r="AL8" i="10"/>
  <c r="AN8" i="10" s="1"/>
  <c r="X38" i="3"/>
  <c r="X8" i="3"/>
  <c r="AL2" i="10"/>
  <c r="AN2" i="10" s="1"/>
  <c r="AM2" i="10"/>
  <c r="X2" i="3" s="1"/>
  <c r="AM5" i="10"/>
  <c r="X3" i="3" s="1"/>
  <c r="X5" i="3"/>
  <c r="X13" i="3"/>
  <c r="X10" i="3"/>
  <c r="X15" i="3"/>
  <c r="X12" i="3"/>
  <c r="AL4" i="10"/>
  <c r="AN4" i="10" s="1"/>
  <c r="AM6" i="10"/>
  <c r="X11" i="3"/>
  <c r="X45" i="3"/>
  <c r="X7" i="3"/>
  <c r="X14" i="3"/>
  <c r="AM3" i="10"/>
  <c r="U11" i="13" s="1"/>
  <c r="X43" i="3"/>
  <c r="AM4" i="10"/>
  <c r="U14" i="13" s="1"/>
  <c r="AL6" i="10"/>
  <c r="AN6" i="10" s="1"/>
  <c r="X6" i="3" l="1"/>
  <c r="H43" i="6"/>
  <c r="H45" i="6"/>
  <c r="H31" i="6"/>
  <c r="H51" i="6"/>
  <c r="H34" i="6"/>
  <c r="H57" i="6"/>
  <c r="H11" i="6"/>
  <c r="H18" i="6"/>
  <c r="H38" i="6"/>
  <c r="H53" i="6"/>
  <c r="H24" i="6"/>
  <c r="H44" i="6"/>
  <c r="H15" i="6"/>
  <c r="H5" i="6"/>
  <c r="H41" i="6"/>
  <c r="H27" i="6"/>
  <c r="H9" i="6"/>
  <c r="H3" i="6"/>
  <c r="H28" i="6"/>
  <c r="H17" i="6"/>
  <c r="H4" i="6"/>
  <c r="H47" i="6"/>
  <c r="H49" i="6"/>
  <c r="H36" i="6"/>
  <c r="H13" i="6"/>
  <c r="H39" i="6"/>
  <c r="H54" i="6"/>
  <c r="H29" i="6"/>
  <c r="H19" i="6"/>
  <c r="H58" i="6"/>
  <c r="H16" i="6"/>
  <c r="H6" i="6"/>
  <c r="H30" i="6"/>
  <c r="H50" i="6"/>
  <c r="H10" i="6"/>
  <c r="H46" i="6"/>
  <c r="H21" i="6"/>
  <c r="H33" i="6"/>
  <c r="H20" i="6"/>
  <c r="H2" i="6"/>
  <c r="H52" i="6"/>
  <c r="H55" i="6"/>
  <c r="H23" i="6"/>
  <c r="H22" i="6"/>
  <c r="H35" i="6"/>
  <c r="H37" i="6"/>
  <c r="H8" i="6"/>
  <c r="H14" i="6"/>
  <c r="H56" i="6"/>
  <c r="H42" i="6"/>
  <c r="H7" i="6"/>
  <c r="H26" i="6"/>
  <c r="H25" i="6"/>
  <c r="H40" i="6"/>
  <c r="H12" i="6"/>
  <c r="H32" i="6"/>
  <c r="C4" i="10"/>
  <c r="C33" i="10"/>
  <c r="S21" i="3" s="1"/>
  <c r="C55" i="10"/>
  <c r="S39" i="3" s="1"/>
  <c r="C62" i="10"/>
  <c r="S44" i="3" s="1"/>
  <c r="C68" i="10"/>
  <c r="R20" i="13" s="1"/>
  <c r="C24" i="10"/>
  <c r="R21" i="13" s="1"/>
  <c r="C42" i="10"/>
  <c r="S28" i="3" s="1"/>
  <c r="C41" i="10"/>
  <c r="C37" i="10"/>
  <c r="S24" i="3" s="1"/>
  <c r="C36" i="10"/>
  <c r="S23" i="3" s="1"/>
  <c r="C44" i="10"/>
  <c r="C61" i="10"/>
  <c r="C63" i="10"/>
  <c r="C65" i="10"/>
  <c r="R17" i="13" s="1"/>
  <c r="C67" i="10"/>
  <c r="R19" i="13" s="1"/>
  <c r="C48" i="10"/>
  <c r="S33" i="3" s="1"/>
  <c r="C60" i="10"/>
  <c r="S42" i="3" s="1"/>
  <c r="C6" i="10"/>
  <c r="C21" i="10"/>
  <c r="C16" i="10"/>
  <c r="C19" i="10"/>
  <c r="C38" i="10"/>
  <c r="S25" i="3" s="1"/>
  <c r="C50" i="10"/>
  <c r="S35" i="3" s="1"/>
  <c r="C56" i="10"/>
  <c r="C57" i="10"/>
  <c r="C64" i="10"/>
  <c r="C59" i="10"/>
  <c r="C13" i="10"/>
  <c r="C14" i="10"/>
  <c r="C15" i="10"/>
  <c r="C9" i="10"/>
  <c r="C12" i="10"/>
  <c r="C17" i="10"/>
  <c r="C2" i="10"/>
  <c r="C8" i="10"/>
  <c r="C5" i="10"/>
  <c r="C32" i="10"/>
  <c r="S20" i="3" s="1"/>
  <c r="C34" i="10"/>
  <c r="R24" i="13" s="1"/>
  <c r="C35" i="10"/>
  <c r="S22" i="3" s="1"/>
  <c r="C58" i="10"/>
  <c r="C66" i="10"/>
  <c r="R18" i="13" s="1"/>
  <c r="C43" i="10"/>
  <c r="S29" i="3" s="1"/>
  <c r="C11" i="10"/>
  <c r="C10" i="10"/>
  <c r="C23" i="10"/>
  <c r="C26" i="10"/>
  <c r="R22" i="13" s="1"/>
  <c r="C25" i="10"/>
  <c r="S17" i="3" s="1"/>
  <c r="C30" i="10"/>
  <c r="S19" i="3" s="1"/>
  <c r="C31" i="10"/>
  <c r="C29" i="10"/>
  <c r="S18" i="3" s="1"/>
  <c r="C7" i="10"/>
  <c r="C3" i="10"/>
  <c r="C53" i="10"/>
  <c r="C46" i="10"/>
  <c r="S31" i="3" s="1"/>
  <c r="C51" i="10"/>
  <c r="S36" i="3" s="1"/>
  <c r="C18" i="10"/>
  <c r="C22" i="10"/>
  <c r="C20" i="10"/>
  <c r="C27" i="10"/>
  <c r="C28" i="10"/>
  <c r="R23" i="13" s="1"/>
  <c r="C40" i="10"/>
  <c r="S27" i="3" s="1"/>
  <c r="C39" i="10"/>
  <c r="S26" i="3" s="1"/>
  <c r="C52" i="10"/>
  <c r="R25" i="13" s="1"/>
  <c r="C49" i="10"/>
  <c r="S34" i="3" s="1"/>
  <c r="C45" i="10"/>
  <c r="S30" i="3" s="1"/>
  <c r="C47" i="10"/>
  <c r="S32" i="3" s="1"/>
  <c r="C54" i="10"/>
  <c r="X41" i="3"/>
  <c r="V16" i="13"/>
  <c r="X4" i="3"/>
  <c r="X16" i="3"/>
  <c r="X9" i="3"/>
  <c r="X40" i="3"/>
  <c r="X37" i="3"/>
  <c r="U15" i="13"/>
  <c r="U13" i="13"/>
  <c r="S38" i="3"/>
  <c r="S2" i="3"/>
  <c r="R11" i="13"/>
  <c r="S13" i="3"/>
  <c r="S16" i="13"/>
  <c r="R14" i="13"/>
  <c r="V10" i="13"/>
  <c r="V9" i="13"/>
  <c r="R15" i="13"/>
  <c r="S4" i="3"/>
  <c r="S37" i="3"/>
  <c r="S15" i="3"/>
  <c r="S43" i="3"/>
  <c r="S40" i="3"/>
  <c r="S41" i="3"/>
  <c r="S10" i="3"/>
  <c r="S14" i="3"/>
  <c r="S11" i="3"/>
  <c r="S12" i="3"/>
  <c r="V4" i="13"/>
  <c r="V3" i="13"/>
  <c r="S7" i="3"/>
  <c r="S45" i="3"/>
  <c r="S9" i="3"/>
  <c r="S16" i="3"/>
  <c r="V2" i="13"/>
  <c r="S5" i="3"/>
  <c r="S8" i="3"/>
  <c r="V5" i="13"/>
  <c r="V6" i="13"/>
  <c r="S6" i="3"/>
  <c r="R12" i="13"/>
  <c r="S3" i="3"/>
  <c r="V7" i="13"/>
  <c r="Q38" i="3"/>
  <c r="R13" i="13" l="1"/>
  <c r="V8" i="13"/>
  <c r="R13" i="3"/>
  <c r="R5" i="3"/>
  <c r="R7" i="3"/>
  <c r="R11" i="3"/>
  <c r="R4" i="3"/>
  <c r="R41" i="3"/>
  <c r="R10" i="3"/>
  <c r="R45" i="3"/>
  <c r="R40" i="3"/>
  <c r="R43" i="3"/>
  <c r="R15" i="3"/>
  <c r="R6" i="3"/>
  <c r="R8" i="3"/>
  <c r="R2" i="3"/>
  <c r="R37" i="3"/>
</calcChain>
</file>

<file path=xl/sharedStrings.xml><?xml version="1.0" encoding="utf-8"?>
<sst xmlns="http://schemas.openxmlformats.org/spreadsheetml/2006/main" count="2567" uniqueCount="912">
  <si>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</si>
  <si>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</si>
  <si>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</si>
  <si>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</si>
  <si>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</si>
  <si>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</si>
  <si>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</si>
  <si>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</si>
  <si>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</si>
  <si>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</si>
  <si>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</si>
  <si>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</si>
  <si>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</si>
  <si>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</si>
  <si>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</si>
  <si>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</si>
  <si>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</si>
  <si>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</si>
  <si>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</si>
  <si>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</si>
  <si>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</si>
  <si>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</si>
  <si>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</si>
  <si>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</si>
  <si>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</si>
  <si>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</si>
  <si>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</si>
  <si>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</si>
  <si>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</si>
  <si>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</si>
  <si>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</si>
  <si>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</si>
  <si>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</si>
  <si>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</si>
  <si>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</si>
  <si>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</si>
  <si>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</si>
  <si>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</si>
  <si>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</si>
  <si>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</si>
  <si>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</si>
  <si>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</si>
  <si>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</si>
  <si>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</si>
  <si>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</si>
  <si>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</si>
  <si>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</si>
  <si>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</si>
  <si>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</si>
  <si>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</si>
  <si>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</si>
  <si>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</si>
  <si>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</si>
  <si>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</si>
  <si>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</si>
  <si>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</si>
  <si>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</si>
  <si>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</si>
  <si>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</si>
  <si>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</si>
  <si>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</si>
  <si>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</si>
  <si>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</si>
  <si>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</si>
  <si>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</si>
  <si>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</si>
  <si>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</si>
  <si>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</si>
  <si>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</si>
  <si>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</si>
  <si>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</si>
  <si>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</si>
  <si>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</si>
  <si>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</si>
  <si>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</si>
  <si>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</si>
  <si>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</si>
  <si>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</si>
  <si>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</si>
  <si>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</si>
  <si>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</si>
  <si>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</si>
  <si>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</si>
  <si>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</si>
  <si>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</si>
  <si>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</si>
  <si>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</si>
  <si>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</si>
  <si>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</si>
  <si>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</si>
  <si>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</si>
  <si>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</si>
  <si>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</si>
  <si>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</si>
  <si>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</si>
  <si>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</si>
  <si>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</si>
  <si>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</si>
  <si>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</si>
  <si>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</si>
  <si>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</si>
  <si>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</si>
  <si>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</si>
  <si>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</si>
  <si>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</si>
  <si>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</si>
  <si>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</si>
  <si>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</si>
  <si>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</si>
  <si>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</si>
  <si>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</si>
  <si>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</si>
  <si>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</si>
  <si>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</si>
  <si>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</si>
  <si>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</si>
  <si>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</si>
  <si>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</si>
  <si>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</si>
  <si>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</si>
  <si>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</si>
  <si>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</si>
  <si>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</si>
  <si>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</si>
  <si>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</si>
  <si>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</si>
  <si>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</si>
  <si>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</si>
  <si>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</si>
  <si>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</si>
  <si>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</si>
  <si>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</si>
  <si>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</si>
  <si>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</si>
  <si>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</si>
  <si>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</si>
  <si>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</si>
  <si>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</si>
  <si>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</si>
  <si>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</si>
  <si>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</si>
  <si>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</si>
  <si>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</si>
  <si>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</si>
  <si>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</si>
  <si>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</si>
  <si>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</si>
  <si>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</si>
  <si>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</si>
  <si>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</si>
  <si>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</si>
  <si>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</si>
  <si>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</si>
  <si>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</si>
  <si>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</si>
  <si>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</si>
  <si>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</si>
  <si>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</si>
  <si>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</si>
  <si>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</si>
  <si>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</si>
  <si>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</si>
  <si>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</si>
  <si>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</si>
  <si>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</si>
  <si>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</si>
  <si>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</si>
  <si>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</si>
  <si>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</si>
  <si>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</si>
  <si>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</si>
  <si>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</si>
  <si>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</si>
  <si>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</si>
  <si>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</si>
  <si>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</si>
  <si>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</si>
  <si>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</si>
  <si>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</si>
  <si>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</si>
  <si>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</si>
  <si>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</si>
  <si>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</si>
  <si>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</si>
  <si>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</si>
  <si>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</si>
  <si>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</si>
  <si>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</si>
  <si>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</si>
  <si>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</si>
  <si>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</si>
  <si>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</si>
  <si>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</si>
  <si>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</si>
  <si>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</si>
  <si>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</si>
  <si>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</si>
  <si>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</si>
  <si>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</si>
  <si>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</si>
  <si>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</si>
  <si>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</si>
  <si>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</si>
  <si>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</si>
  <si>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</si>
  <si>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</si>
  <si>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</si>
  <si>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7:1</t>
  </si>
  <si>
    <t>18:1</t>
  </si>
  <si>
    <t>17:1</t>
  </si>
  <si>
    <t>3:1</t>
  </si>
  <si>
    <t>4:1</t>
  </si>
  <si>
    <t>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</si>
  <si>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</si>
  <si>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</si>
  <si>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</si>
  <si>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</si>
  <si>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</si>
  <si>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</si>
  <si>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</si>
  <si>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</si>
  <si>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</si>
  <si>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</si>
  <si>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</si>
  <si>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</si>
  <si>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</si>
  <si>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</si>
  <si>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</si>
  <si>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</si>
  <si>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</si>
  <si>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</si>
  <si>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</si>
  <si>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</si>
  <si>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</si>
  <si>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</si>
  <si>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</si>
  <si>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</si>
  <si>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</si>
  <si>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</si>
  <si>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</si>
  <si>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</si>
  <si>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</si>
  <si>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</si>
  <si>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</si>
  <si>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</si>
  <si>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</si>
  <si>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</si>
  <si>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</si>
  <si>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</si>
  <si>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</si>
  <si>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</si>
  <si>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</si>
  <si>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</si>
  <si>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</si>
  <si>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</si>
  <si>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</si>
  <si>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</si>
  <si>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</si>
  <si>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</si>
  <si>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</si>
  <si>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</si>
  <si>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</si>
  <si>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</si>
  <si>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</si>
  <si>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</si>
  <si>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</si>
  <si>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</si>
  <si>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</si>
  <si>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</si>
  <si>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</si>
  <si>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</si>
  <si>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</si>
  <si>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</si>
  <si>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</si>
  <si>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</si>
  <si>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</si>
  <si>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</si>
  <si>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</si>
  <si>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</si>
  <si>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</si>
  <si>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</si>
  <si>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</si>
  <si>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</si>
  <si>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</si>
  <si>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</si>
  <si>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</si>
  <si>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</si>
  <si>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</si>
  <si>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</si>
  <si>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</si>
  <si>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</si>
  <si>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</si>
  <si>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</si>
  <si>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</si>
  <si>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</si>
  <si>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</si>
  <si>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</si>
  <si>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</si>
  <si>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</si>
  <si>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</si>
  <si>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</si>
  <si>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</si>
  <si>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</si>
  <si>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</si>
  <si>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</si>
  <si>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</si>
  <si>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</si>
  <si>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</si>
  <si>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</si>
  <si>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</si>
  <si>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</si>
  <si>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</si>
  <si>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Master's of Computer Science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</si>
  <si>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</si>
  <si>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</si>
  <si>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</si>
  <si>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</si>
  <si>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</si>
  <si>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</si>
  <si>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</si>
  <si>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</si>
  <si>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</si>
  <si>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</si>
  <si>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</si>
  <si>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</si>
  <si>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</si>
  <si>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</si>
  <si>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</si>
  <si>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</si>
  <si>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</si>
  <si>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</si>
  <si>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</si>
  <si>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</si>
  <si>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</si>
  <si>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</si>
  <si>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</si>
  <si>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</si>
  <si>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</si>
  <si>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</si>
  <si>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</si>
  <si>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</si>
  <si>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</si>
  <si>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</si>
  <si>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</si>
  <si>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</si>
  <si>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</si>
  <si>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</si>
  <si>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</si>
  <si>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</si>
  <si>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</si>
  <si>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</si>
  <si>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</si>
  <si>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</si>
  <si>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</si>
  <si>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</si>
  <si>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</si>
  <si>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</si>
  <si>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</si>
  <si>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</si>
  <si>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</si>
  <si>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</si>
  <si>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</si>
  <si>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</si>
  <si>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</si>
  <si>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</si>
  <si>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</si>
  <si>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</si>
  <si>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</si>
  <si>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</si>
  <si>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</si>
  <si>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</si>
  <si>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</si>
  <si>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</si>
  <si>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</si>
  <si>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</si>
  <si>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</si>
  <si>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</si>
  <si>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</si>
  <si>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</si>
  <si>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</si>
  <si>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</si>
  <si>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</si>
  <si>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</si>
  <si>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</si>
  <si>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</si>
  <si>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</si>
  <si>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</si>
  <si>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</si>
  <si>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</si>
  <si>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</si>
  <si>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</si>
  <si>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</si>
  <si>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</si>
  <si>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</si>
  <si>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</si>
  <si>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</si>
  <si>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</si>
  <si>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</si>
  <si>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</si>
  <si>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</si>
  <si>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</si>
  <si>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</si>
  <si>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</si>
  <si>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</si>
  <si>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</si>
  <si>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</si>
  <si>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</si>
  <si>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</si>
  <si>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</si>
  <si>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</si>
  <si>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</si>
  <si>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</si>
  <si>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</si>
  <si>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</si>
  <si>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</si>
  <si>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</si>
  <si>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</si>
  <si>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</si>
  <si>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</si>
  <si>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</si>
  <si>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</si>
  <si>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</si>
  <si>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</si>
  <si>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</si>
  <si>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</si>
  <si>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</si>
  <si>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</si>
  <si>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</si>
  <si>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</si>
  <si>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</si>
  <si>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</si>
  <si>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</si>
  <si>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</si>
  <si>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</si>
  <si>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</si>
  <si>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</si>
  <si>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</si>
  <si>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</si>
  <si>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</si>
  <si>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</si>
  <si>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</si>
  <si>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</si>
  <si>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</si>
  <si>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</si>
  <si>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</si>
  <si>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</si>
  <si>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</si>
  <si>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</si>
  <si>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</si>
  <si>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</si>
  <si>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</si>
  <si>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</si>
  <si>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</si>
  <si>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</si>
  <si>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</si>
  <si>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</si>
  <si>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</si>
  <si>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</si>
  <si>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</si>
  <si>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</si>
  <si>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</si>
  <si>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</si>
  <si>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</si>
  <si>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</si>
  <si>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</si>
  <si>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</si>
  <si>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</si>
  <si>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</si>
  <si>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</si>
  <si>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</si>
  <si>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</si>
  <si>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</si>
  <si>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</si>
  <si>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</si>
  <si>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</si>
  <si>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</si>
  <si>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</si>
  <si>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</si>
  <si>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</si>
  <si>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</si>
  <si>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</si>
  <si>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</si>
  <si>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</si>
  <si>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</si>
  <si>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</si>
  <si>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</si>
  <si>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</si>
  <si>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</si>
  <si>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</si>
  <si>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</si>
  <si>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</si>
  <si>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</si>
  <si>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</si>
  <si>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</si>
  <si>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</si>
  <si>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</si>
  <si>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</si>
  <si>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</si>
  <si>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</si>
  <si>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</si>
  <si>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</si>
  <si>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</si>
  <si>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</si>
  <si>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</si>
  <si>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</si>
  <si>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</si>
  <si>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</si>
  <si>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</si>
  <si>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</si>
  <si>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</si>
  <si>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</si>
  <si>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</si>
  <si>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</si>
  <si>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</si>
  <si>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</si>
  <si>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</si>
  <si>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</si>
  <si>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</si>
  <si>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</si>
  <si>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</si>
  <si>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</si>
  <si>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</si>
  <si>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</si>
  <si>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</si>
  <si>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</si>
  <si>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</si>
  <si>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</si>
  <si>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</si>
  <si>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</si>
  <si>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</si>
  <si>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</si>
  <si>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</si>
  <si>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</si>
  <si>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</si>
  <si>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</si>
  <si>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</si>
  <si>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</si>
  <si>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</si>
  <si>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</si>
  <si>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</si>
  <si>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</si>
  <si>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</si>
  <si>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</si>
  <si>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</si>
  <si>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</si>
  <si>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</si>
  <si>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</si>
  <si>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</si>
  <si>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</si>
  <si>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</si>
  <si>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</si>
  <si>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</si>
  <si>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</si>
  <si>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</si>
  <si>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</si>
  <si>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</si>
  <si>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</si>
  <si>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</si>
  <si>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</si>
  <si>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</si>
  <si>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</si>
  <si>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</si>
  <si>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</si>
  <si>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</si>
  <si>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</si>
  <si>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</si>
  <si>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</si>
  <si>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</si>
  <si>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</si>
  <si>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</si>
  <si>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</si>
  <si>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</si>
  <si>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</si>
  <si>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</si>
  <si>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</si>
  <si>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</si>
  <si>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</si>
  <si>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</si>
  <si>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</si>
  <si>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</si>
  <si>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</si>
  <si>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</si>
  <si>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</si>
  <si>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</si>
  <si>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</si>
  <si>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</si>
  <si>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</si>
  <si>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</si>
  <si>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</si>
  <si>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</si>
  <si>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</si>
  <si>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</si>
  <si>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</si>
  <si>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</si>
  <si>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</si>
  <si>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</si>
  <si>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</si>
  <si>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</si>
  <si>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</si>
  <si>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</si>
  <si>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</si>
  <si>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</si>
  <si>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</si>
  <si>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</si>
  <si>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</si>
  <si>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</si>
  <si>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</si>
  <si>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</si>
  <si>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</si>
  <si>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</si>
  <si>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</si>
  <si>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</si>
  <si>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</si>
  <si>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</si>
  <si>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</si>
  <si>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</si>
  <si>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</si>
  <si>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</si>
  <si>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</si>
  <si>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</si>
  <si>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</si>
  <si>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</si>
  <si>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</si>
  <si>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</si>
  <si>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</si>
  <si>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</si>
  <si>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</si>
  <si>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</si>
  <si>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</si>
  <si>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</si>
  <si>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</si>
  <si>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</si>
  <si>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</si>
  <si>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</si>
  <si>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</si>
  <si>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</si>
  <si>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</si>
  <si>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</si>
  <si>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</si>
  <si>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</si>
  <si>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</si>
  <si>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</si>
  <si>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</si>
  <si>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</si>
  <si>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</si>
  <si>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</si>
  <si>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</si>
  <si>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</si>
  <si>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</si>
  <si>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</si>
  <si>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</si>
  <si>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</si>
  <si>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</si>
  <si>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</si>
  <si>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</si>
  <si>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</si>
  <si>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</si>
  <si>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</si>
  <si>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</si>
  <si>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</si>
  <si>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</si>
  <si>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</si>
  <si>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</si>
  <si>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</si>
  <si>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</si>
  <si>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</si>
  <si>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</si>
  <si>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</si>
  <si>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</si>
  <si>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</si>
  <si>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</si>
  <si>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</si>
  <si>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</si>
  <si>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</si>
  <si>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</si>
  <si>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</si>
  <si>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</si>
  <si>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</si>
  <si>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</si>
  <si>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</si>
  <si>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</si>
  <si>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</si>
  <si>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</si>
  <si>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</si>
  <si>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</si>
  <si>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</si>
  <si>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</si>
  <si>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</si>
  <si>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</si>
  <si>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</si>
  <si>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</si>
  <si>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</si>
  <si>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</si>
  <si>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</si>
  <si>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</si>
  <si>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</si>
  <si>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</si>
  <si>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</si>
  <si>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</si>
  <si>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</si>
  <si>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</si>
  <si>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</si>
  <si>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</si>
  <si>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</si>
  <si>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</si>
  <si>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</si>
  <si>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</si>
  <si>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</si>
  <si>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</si>
  <si>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</si>
  <si>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</si>
  <si>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</si>
  <si>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</si>
  <si>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</si>
  <si>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</si>
  <si>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</si>
  <si>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</si>
  <si>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</si>
  <si>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</si>
  <si>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</si>
  <si>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</si>
  <si>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</si>
  <si>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</si>
  <si>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</si>
  <si>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</si>
  <si>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</si>
  <si>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</si>
  <si>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</si>
  <si>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</si>
  <si>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</si>
  <si>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</si>
  <si>
    <t>Rice Unversity</t>
  </si>
  <si>
    <t>Only offers industry focus MSCS but looks good</t>
  </si>
  <si>
    <t>Suggests very small MS program and that very few international students are admitted</t>
  </si>
  <si>
    <t>317/153/164/3.0</t>
  </si>
  <si>
    <t>Suggests strict requirements to have completed the pre requisites</t>
  </si>
  <si>
    <t>Suggests that background requirements can be completed through independent study</t>
  </si>
  <si>
    <t>Some background courses can be taken in MS program</t>
  </si>
  <si>
    <t>Part of courses/background can be met and rest can be taken for part credit</t>
  </si>
  <si>
    <t>324/158/166/4.8</t>
  </si>
  <si>
    <t>Preference to people prepared strongly in requirements especially mathematics</t>
  </si>
  <si>
    <t>11-Dec-19(Rec)</t>
  </si>
  <si>
    <t>Rolling Admissions</t>
  </si>
  <si>
    <t>Shows many students in seeking employment category (~39%)</t>
  </si>
  <si>
    <t>Requires only 2 Letters of Recommendation</t>
  </si>
  <si>
    <t>Suggests requirement of pre requisite courses but has students from varied backgrounds</t>
  </si>
  <si>
    <t>Has concentration in Data Science and looks good</t>
  </si>
  <si>
    <t>Minor deficiencies in undergraduate preparation are acceptable and can be removed in first year of graduate study</t>
  </si>
  <si>
    <t>Some emphasis on GRE scores along with letters of recommendation, the personal statement and GPA</t>
  </si>
  <si>
    <t>Most students admitted to MS/PhD programs</t>
  </si>
  <si>
    <t>Students may be admitted with one or more deficiencies in the undergraduate proficiency requirements</t>
  </si>
  <si>
    <t>$75</t>
  </si>
  <si>
    <t>Small school and difficult program</t>
  </si>
  <si>
    <t>Selection Chances</t>
  </si>
  <si>
    <t>Ambitious</t>
  </si>
  <si>
    <t>Selection_Chance</t>
  </si>
  <si>
    <t>Moderate</t>
  </si>
  <si>
    <t>Safe</t>
  </si>
  <si>
    <t>321/156/165/3.5</t>
  </si>
  <si>
    <t>M.Eng. Program for 1 year</t>
  </si>
  <si>
    <t>Requires strong technical background or similar experience</t>
  </si>
  <si>
    <t>Merit and need based grant for M.Eng.</t>
  </si>
  <si>
    <t>M.Eng. Slightly Leadership and management focused</t>
  </si>
  <si>
    <t>M.Eng. Only 4 technical courses, leadership courses and a project</t>
  </si>
  <si>
    <t>Very small M.S. program for students with research experience</t>
  </si>
  <si>
    <t>No supplemental program for MS</t>
  </si>
  <si>
    <t>Tuition - M.S. - 33,911.50, M.Eng. - 55,755</t>
  </si>
  <si>
    <t>Has many programs, interesting: MS ML, MS Comp. DS, MS Intel. Info. Sys, MSCS</t>
  </si>
  <si>
    <t>Suggest opportunity for varied UG background</t>
  </si>
  <si>
    <t>No terminal academic MSCS program, combined MS/PhD program and a professional MS degree</t>
  </si>
  <si>
    <t>Questions</t>
  </si>
  <si>
    <t>MS/PhD program strength?</t>
  </si>
  <si>
    <t>$81</t>
  </si>
  <si>
    <t>Can apply to 3 programs with one application fee</t>
  </si>
  <si>
    <t>324/160/164/4.8</t>
  </si>
  <si>
    <t>20% acceptance rate</t>
  </si>
  <si>
    <t>Decent program strength ~ 160</t>
  </si>
  <si>
    <t>MS - CS, CE</t>
  </si>
  <si>
    <t>Suggests applications open for non-CS UG's</t>
  </si>
  <si>
    <t>Good Curriculum (Exam Option ~40-48 credits) (Thesis ~40 units)</t>
  </si>
  <si>
    <t>Allows registration to more than 1 program with a single registration. Bad Job prospects after MS</t>
  </si>
  <si>
    <t>Has PAC program for preparing students without background. Separate from MS.</t>
  </si>
  <si>
    <t>Looks neutral towards non-CS UG's</t>
  </si>
  <si>
    <t>Master in Computer Science</t>
  </si>
  <si>
    <t>Master in Data Science</t>
  </si>
  <si>
    <t>QS Global Rank</t>
  </si>
  <si>
    <t>QS CS Rank</t>
  </si>
  <si>
    <t>Many different programs (non-CS, ML, AI, Soft. Engg.)</t>
  </si>
  <si>
    <t>MSc. Computing Science for non-CS UG students</t>
  </si>
  <si>
    <t>Can specify two programs, can be selected in any of the options</t>
  </si>
  <si>
    <t>First set of GRE scores considered</t>
  </si>
  <si>
    <t>Rolling admissions</t>
  </si>
  <si>
    <t>Good curriculum and lots of courses</t>
  </si>
  <si>
    <t>All programs - 1 year</t>
  </si>
  <si>
    <t>Suggests difficult for non-CS UG</t>
  </si>
  <si>
    <t>MS Data Science - 2 years, MS Computer Science - 1.5 year + 0.5 year optional specialization</t>
  </si>
  <si>
    <t>Good curriculum</t>
  </si>
  <si>
    <t>Low tuition, high living cost, total cost similar to lower end US</t>
  </si>
  <si>
    <t xml:space="preserve">Can apply to only one program </t>
  </si>
  <si>
    <t>Joint masters in Computer Science and Statistics but requires advanced calculus and statistical methods</t>
  </si>
  <si>
    <t>GRE not required</t>
  </si>
  <si>
    <t>Not Required</t>
  </si>
  <si>
    <t>MASTER OF SCIENCE IN COMPUTER SCIENCE </t>
  </si>
  <si>
    <t>MASTER OF DATA SCIENCE</t>
  </si>
  <si>
    <t>(CAN) $165</t>
  </si>
  <si>
    <t>LOR's most important, 2nd - Academic Record, 3rd - SOP</t>
  </si>
  <si>
    <t>Full Financial support through assistanceships</t>
  </si>
  <si>
    <t>Requires hard constrained strong background in CS</t>
  </si>
  <si>
    <t>MDS program has no financial support, 10 month program (Tuition: $42,436 CAD, $5,000 CAD available for exemplary students)</t>
  </si>
  <si>
    <t>Lower prerequisite requirements than normal for MCS degree</t>
  </si>
  <si>
    <t>Suggested to get prerequisites from other sources before application</t>
  </si>
  <si>
    <t>MSCS and PhD common admissions, candidacy transfer to PhD after completion of MS</t>
  </si>
  <si>
    <t>Curriculum looks weak for MSCS</t>
  </si>
  <si>
    <t>MCS</t>
  </si>
  <si>
    <t>MSCS/PhD</t>
  </si>
  <si>
    <t>Information and Computer Sciences</t>
  </si>
  <si>
    <t>MCS degree - professional, 16 month degree</t>
  </si>
  <si>
    <t>Suggest strict requirements of CS-UG requirements</t>
  </si>
  <si>
    <t>University Park, main campus</t>
  </si>
  <si>
    <t>1 year MECSE degree for industry and 2 year MSCSE degree</t>
  </si>
  <si>
    <t>Suggests applications accepted from non-CS UG students</t>
  </si>
  <si>
    <t>Requires both Statement of Purpose and Personal Achievements / Contributions Statement</t>
  </si>
  <si>
    <t>MSCS and MCS</t>
  </si>
  <si>
    <t>Can take 3 deficiency test outs</t>
  </si>
  <si>
    <t>Texas A&amp;M Univesity</t>
  </si>
  <si>
    <t>Can take some courses for UG requirement during MS</t>
  </si>
  <si>
    <t>MSCS and MCS, common admissions</t>
  </si>
  <si>
    <t>Review</t>
  </si>
  <si>
    <t>AI_Flag</t>
  </si>
  <si>
    <t>Encourages other fields, Bad AI/ML program</t>
  </si>
  <si>
    <t>Bad AI/ML Program</t>
  </si>
  <si>
    <t>Bad AI/ML program</t>
  </si>
  <si>
    <t>Utah</t>
  </si>
  <si>
    <t>Stony Brook</t>
  </si>
  <si>
    <t>Orlando</t>
  </si>
  <si>
    <t>Missouri</t>
  </si>
  <si>
    <t>Colorado</t>
  </si>
  <si>
    <t>Boulder</t>
  </si>
  <si>
    <t>Richardson</t>
  </si>
  <si>
    <t>New Brunswick</t>
  </si>
  <si>
    <t>Masters in Statistics - Data Science</t>
  </si>
  <si>
    <t>Statistics</t>
  </si>
  <si>
    <t>Masters of Data Science</t>
  </si>
  <si>
    <t>Master's of Science in Data Science</t>
  </si>
  <si>
    <t>University of Minnesota</t>
  </si>
  <si>
    <t>San Diego</t>
  </si>
  <si>
    <t>College Park</t>
  </si>
  <si>
    <t>Providence</t>
  </si>
  <si>
    <t>Tempe</t>
  </si>
  <si>
    <t>Salt Lake City</t>
  </si>
  <si>
    <t>Looks for balance between coursework and research</t>
  </si>
  <si>
    <t>Suggest strong requirements for background knowledge</t>
  </si>
  <si>
    <t>1. Good Curriculum - Both CS and Statistics (Half common with CS)
2. Allows research
3. Moderate undergraduate requirements
4. Has preparatory exam</t>
  </si>
  <si>
    <t>Linkedin Students / Alumni</t>
  </si>
  <si>
    <t>Satujoda Shanmukha Srivathsav,
Vedang Mehta,
Akhilesh Mahajan,
Trupti Deshpande</t>
  </si>
  <si>
    <t>Suggests acceptance for workplace recommendations</t>
  </si>
  <si>
    <t xml:space="preserve">Weak UG pre requisite </t>
  </si>
  <si>
    <t>Requires only unofficial GRE and TOEFL scores</t>
  </si>
  <si>
    <t>Align program - for non-CS students (2.5 years - 5 sem + Internship)</t>
  </si>
  <si>
    <t>Align program - Has good scope for scholarship</t>
  </si>
  <si>
    <t>Masters in Data Science</t>
  </si>
  <si>
    <t>Arnav Puri,
Prasanna Kumar Challa,
Rohan Phadke (BITS) (CS),</t>
  </si>
  <si>
    <t>Audrey Breitwieser,
Hongtao Sun,
Long Tran,
Alfredo Láinez,
Irwan Bello,
Andreas Santucci</t>
  </si>
  <si>
    <r>
      <t xml:space="preserve">1. Allows Research
</t>
    </r>
    <r>
      <rPr>
        <sz val="11"/>
        <color rgb="FFFF0000"/>
        <rFont val="Calibri"/>
        <family val="2"/>
        <scheme val="minor"/>
      </rPr>
      <t>2. Very small program ~10 students</t>
    </r>
  </si>
  <si>
    <r>
      <t xml:space="preserve">1. Requires basic math and programming background but has opt out tests
2. Good curriculum, common courses with CS students
</t>
    </r>
    <r>
      <rPr>
        <sz val="11"/>
        <color rgb="FFFF0000"/>
        <rFont val="Calibri"/>
        <family val="2"/>
        <scheme val="minor"/>
      </rPr>
      <t>3. No research, no capstone project. But a project can be taken in the end</t>
    </r>
  </si>
  <si>
    <t>Requires one recommendation from person in AI/CS</t>
  </si>
  <si>
    <t>Strong background required but has provisional status, pre req to be completed before 1 yr</t>
  </si>
  <si>
    <t>MS in Intelligent Systems also available</t>
  </si>
  <si>
    <t xml:space="preserve">MS in Intelligent Systems </t>
  </si>
  <si>
    <t>University of Pittsburg</t>
  </si>
  <si>
    <t>$100</t>
  </si>
  <si>
    <t>Moderate CS UG requirements, but strictness regarding having taken them</t>
  </si>
  <si>
    <t>Letters prefered from academic community</t>
  </si>
  <si>
    <t>318/157/161/4</t>
  </si>
  <si>
    <t>St. Louis</t>
  </si>
  <si>
    <t>Has bridge courses and test out for non-CS UG background</t>
  </si>
  <si>
    <t>Bad for AI/MS, very poor rank</t>
  </si>
  <si>
    <t>Very poor rank</t>
  </si>
  <si>
    <t xml:space="preserve">Has bridge courses for UG preparation </t>
  </si>
  <si>
    <t>Not good for AI/ML</t>
  </si>
  <si>
    <t>Yocketers Applied</t>
  </si>
  <si>
    <t>Yocketers Accepted</t>
  </si>
  <si>
    <t>Average Tuition Fee</t>
  </si>
  <si>
    <t>Average Living Expense</t>
  </si>
  <si>
    <t>Yocketers Interested</t>
  </si>
  <si>
    <t>Avg. GRE Quant Score</t>
  </si>
  <si>
    <t>Total Graduate Enrollment</t>
  </si>
  <si>
    <t>Yocketers Applied (CS)</t>
  </si>
  <si>
    <t>Yocketers Accepted (CS)</t>
  </si>
  <si>
    <t>Yocketers Interested (CS)</t>
  </si>
  <si>
    <t>Avg. GRE Score (CS)</t>
  </si>
  <si>
    <t>Avg. TOEFL Score (CS)</t>
  </si>
  <si>
    <t>Average UG Score (CS)</t>
  </si>
  <si>
    <t>Avg. Work Ex (CS) (Months)</t>
  </si>
  <si>
    <t>Average</t>
  </si>
  <si>
    <t>$30</t>
  </si>
  <si>
    <t>Bad for AI/ML</t>
  </si>
  <si>
    <t>Previous Similar Admits</t>
  </si>
  <si>
    <t>No. of Admits for Similar Profiles</t>
  </si>
  <si>
    <t>Very small graduate program, Very Selective</t>
  </si>
  <si>
    <t>S1</t>
  </si>
  <si>
    <t>S2</t>
  </si>
  <si>
    <t>R1</t>
  </si>
  <si>
    <t>Selection Status</t>
  </si>
  <si>
    <t>R2</t>
  </si>
  <si>
    <t>ND</t>
  </si>
  <si>
    <t>F1</t>
  </si>
  <si>
    <t>UN</t>
  </si>
  <si>
    <t>Suggests strong UG requirements and research experience</t>
  </si>
  <si>
    <t>Ivy League, Attracts Higher Applications</t>
  </si>
  <si>
    <t>Allows application to 2 programs with same set of application document</t>
  </si>
  <si>
    <t>Instructions for application fee waiver for 2nd program: https://34pd4s1qv42731f3e23impou-wpengine.netdna-ssl.com/wp-content/uploads/2017/07/Application-Fee-Waiver-Instructions.pdf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</si>
</sst>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0" xfId="0" applyFill="1" applyBorder="1"/>
    <xf numFmtId="0" fontId="0" fillId="0" borderId="4" xfId="0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0" borderId="1" xfId="0" applyBorder="1" applyAlignment="1"/>
    <xf numFmtId="1" fontId="0" fillId="14" borderId="1" xfId="0" applyNumberFormat="1" applyFill="1" applyBorder="1"/>
    <xf numFmtId="1" fontId="0" fillId="15" borderId="1" xfId="0" applyNumberFormat="1" applyFill="1" applyBorder="1"/>
    <xf numFmtId="1" fontId="0" fillId="8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5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4" fontId="0" fillId="5" borderId="1" xfId="0" applyNumberFormat="1" applyFill="1" applyBorder="1"/>
    <xf numFmtId="3" fontId="2" fillId="5" borderId="1" xfId="0" applyNumberFormat="1" applyFont="1" applyFill="1" applyBorder="1" applyAlignment="1">
      <alignment vertical="center" wrapText="1"/>
    </xf>
    <xf numFmtId="3" fontId="2" fillId="5" borderId="1" xfId="0" applyNumberFormat="1" applyFont="1" applyFill="1" applyBorder="1"/>
    <xf numFmtId="0" fontId="2" fillId="5" borderId="1" xfId="0" applyFont="1" applyFill="1" applyBorder="1"/>
    <xf numFmtId="15" fontId="0" fillId="5" borderId="1" xfId="0" applyNumberFormat="1" applyFill="1" applyBorder="1" applyAlignment="1">
      <alignment horizontal="right"/>
    </xf>
    <xf numFmtId="15" fontId="0" fillId="7" borderId="1" xfId="0" applyNumberFormat="1" applyFill="1" applyBorder="1"/>
    <xf numFmtId="1" fontId="0" fillId="7" borderId="1" xfId="0" applyNumberFormat="1" applyFill="1" applyBorder="1" applyAlignment="1">
      <alignment horizontal="right"/>
    </xf>
    <xf numFmtId="4" fontId="0" fillId="7" borderId="1" xfId="0" applyNumberFormat="1" applyFill="1" applyBorder="1"/>
    <xf numFmtId="3" fontId="2" fillId="7" borderId="1" xfId="0" applyNumberFormat="1" applyFont="1" applyFill="1" applyBorder="1" applyAlignment="1">
      <alignment vertical="center" wrapText="1"/>
    </xf>
    <xf numFmtId="3" fontId="2" fillId="7" borderId="1" xfId="0" applyNumberFormat="1" applyFont="1" applyFill="1" applyBorder="1"/>
    <xf numFmtId="0" fontId="2" fillId="7" borderId="1" xfId="0" applyFont="1" applyFill="1" applyBorder="1"/>
    <xf numFmtId="0" fontId="0" fillId="16" borderId="1" xfId="0" applyFill="1" applyBorder="1"/>
    <xf numFmtId="15" fontId="0" fillId="16" borderId="1" xfId="0" applyNumberFormat="1" applyFill="1" applyBorder="1"/>
    <xf numFmtId="1" fontId="0" fillId="16" borderId="1" xfId="0" applyNumberFormat="1" applyFill="1" applyBorder="1" applyAlignment="1">
      <alignment horizontal="right"/>
    </xf>
    <xf numFmtId="4" fontId="0" fillId="16" borderId="1" xfId="0" applyNumberFormat="1" applyFill="1" applyBorder="1"/>
    <xf numFmtId="3" fontId="2" fillId="16" borderId="1" xfId="0" applyNumberFormat="1" applyFont="1" applyFill="1" applyBorder="1" applyAlignment="1">
      <alignment vertical="center" wrapText="1"/>
    </xf>
    <xf numFmtId="0" fontId="2" fillId="16" borderId="1" xfId="0" applyFont="1" applyFill="1" applyBorder="1"/>
    <xf numFmtId="1" fontId="2" fillId="7" borderId="1" xfId="0" applyNumberFormat="1" applyFont="1" applyFill="1" applyBorder="1" applyAlignment="1">
      <alignment horizontal="right"/>
    </xf>
    <xf numFmtId="4" fontId="2" fillId="7" borderId="1" xfId="0" applyNumberFormat="1" applyFont="1" applyFill="1" applyBorder="1"/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right"/>
    </xf>
    <xf numFmtId="3" fontId="0" fillId="7" borderId="1" xfId="0" applyNumberFormat="1" applyFill="1" applyBorder="1"/>
    <xf numFmtId="0" fontId="0" fillId="11" borderId="1" xfId="0" applyFill="1" applyBorder="1" applyAlignment="1">
      <alignment wrapText="1"/>
    </xf>
    <xf numFmtId="0" fontId="2" fillId="0" borderId="0" xfId="0" applyFont="1" applyFill="1" applyBorder="1"/>
    <xf numFmtId="0" fontId="0" fillId="7" borderId="1" xfId="0" applyFill="1" applyBorder="1" applyAlignment="1"/>
    <xf numFmtId="15" fontId="2" fillId="7" borderId="1" xfId="0" applyNumberFormat="1" applyFont="1" applyFill="1" applyBorder="1"/>
    <xf numFmtId="3" fontId="0" fillId="0" borderId="0" xfId="0" applyNumberFormat="1" applyBorder="1"/>
    <xf numFmtId="0" fontId="0" fillId="0" borderId="5" xfId="0" applyFill="1" applyBorder="1"/>
    <xf numFmtId="0" fontId="0" fillId="8" borderId="8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0" fillId="2" borderId="1" xfId="0" applyFill="1" applyBorder="1" applyAlignment="1">
      <alignment horizontal="right" wrapText="1"/>
    </xf>
    <xf numFmtId="49" fontId="0" fillId="2" borderId="1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7" borderId="1" xfId="0" applyNumberFormat="1" applyFill="1" applyBorder="1"/>
    <xf numFmtId="0" fontId="0" fillId="16" borderId="1" xfId="0" applyNumberFormat="1" applyFill="1" applyBorder="1"/>
    <xf numFmtId="0" fontId="0" fillId="0" borderId="1" xfId="0" applyNumberFormat="1" applyBorder="1"/>
    <xf numFmtId="0" fontId="0" fillId="5" borderId="1" xfId="0" applyNumberFormat="1" applyFill="1" applyBorder="1"/>
    <xf numFmtId="0" fontId="2" fillId="7" borderId="1" xfId="0" applyNumberFormat="1" applyFont="1" applyFill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/>
    <xf numFmtId="2" fontId="0" fillId="0" borderId="1" xfId="0" applyNumberFormat="1" applyBorder="1"/>
    <xf numFmtId="4" fontId="0" fillId="0" borderId="1" xfId="0" applyNumberFormat="1" applyFill="1" applyBorder="1"/>
    <xf numFmtId="1" fontId="0" fillId="7" borderId="1" xfId="0" applyNumberFormat="1" applyFill="1" applyBorder="1"/>
    <xf numFmtId="1" fontId="2" fillId="0" borderId="1" xfId="0" applyNumberFormat="1" applyFont="1" applyFill="1" applyBorder="1" applyAlignment="1">
      <alignment horizontal="right"/>
    </xf>
    <xf numFmtId="15" fontId="0" fillId="0" borderId="1" xfId="0" applyNumberFormat="1" applyFill="1" applyBorder="1"/>
    <xf numFmtId="0" fontId="0" fillId="17" borderId="1" xfId="0" applyFill="1" applyBorder="1"/>
    <xf numFmtId="0" fontId="2" fillId="9" borderId="1" xfId="0" applyFont="1" applyFill="1" applyBorder="1"/>
    <xf numFmtId="0" fontId="0" fillId="0" borderId="1" xfId="0" applyBorder="1" applyAlignment="1">
      <alignment horizontal="center"/>
    </xf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0" fillId="12" borderId="8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h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om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sheetPr filterMode="1"/>
  <dimension ref="A1:AH49"/>
  <sheetViews>
    <sheetView tabSelected="1" workbookViewId="0">
      <selection activeCell="F30" sqref="F30"/>
    </sheetView>
  </sheetViews>
  <sheetFormatPr defaultRowHeight="15" x14ac:dyDescent="0.25"/>
  <cols>
    <col min="1" max="1" width="8" style="18" bestFit="1" customWidth="1"/>
    <col min="2" max="2" width="9.85546875" style="6" bestFit="1" customWidth="1"/>
    <col min="3" max="3" width="39.140625" style="6" bestFit="1" customWidth="1"/>
    <col min="4" max="4" width="11.5703125" style="6" bestFit="1" customWidth="1"/>
    <col min="5" max="5" width="14.7109375" style="6" bestFit="1" customWidth="1"/>
    <col min="6" max="6" width="14" style="6" bestFit="1" customWidth="1"/>
    <col min="7" max="7" width="12.85546875" style="6" bestFit="1" customWidth="1"/>
    <col min="8" max="8" width="12.7109375" style="6" bestFit="1" customWidth="1"/>
    <col min="9" max="9" width="19.5703125" style="6" bestFit="1" customWidth="1"/>
    <col min="10" max="10" width="33.28515625" style="6" bestFit="1" customWidth="1"/>
    <col min="11" max="11" width="14.42578125" style="6" bestFit="1" customWidth="1"/>
    <col min="12" max="12" width="27.42578125" style="6" bestFit="1" customWidth="1"/>
    <col min="13" max="13" width="16.140625" style="6" bestFit="1" customWidth="1"/>
    <col min="14" max="14" width="15" style="27" bestFit="1" customWidth="1"/>
    <col min="15" max="15" width="11.140625" style="6" bestFit="1" customWidth="1"/>
    <col min="16" max="16" width="9.5703125" style="6" bestFit="1" customWidth="1"/>
    <col min="17" max="17" width="13.5703125" style="6" bestFit="1" customWidth="1"/>
    <col min="18" max="18" width="23.7109375" style="6" bestFit="1" customWidth="1"/>
    <col min="19" max="19" width="14.42578125" style="6" bestFit="1" customWidth="1"/>
    <col min="20" max="20" width="16.7109375" style="6" bestFit="1" customWidth="1"/>
    <col min="21" max="21" width="13" style="6" bestFit="1" customWidth="1"/>
    <col min="22" max="22" width="15.5703125" style="6" bestFit="1" customWidth="1"/>
    <col min="23" max="23" width="18" style="6" bestFit="1" customWidth="1"/>
    <col min="24" max="24" width="17.28515625" style="6" bestFit="1" customWidth="1"/>
    <col min="25" max="25" width="20.140625" style="6" bestFit="1" customWidth="1"/>
    <col min="26" max="26" width="18.28515625" style="6" bestFit="1" customWidth="1"/>
    <col min="27" max="27" width="16.140625" style="6" bestFit="1" customWidth="1"/>
    <col min="28" max="28" width="14.85546875" style="6" bestFit="1" customWidth="1"/>
    <col min="29" max="29" width="11.42578125" style="6" bestFit="1" customWidth="1"/>
    <col min="30" max="30" width="9.5703125" style="6" bestFit="1" customWidth="1"/>
    <col min="31" max="31" width="12.5703125" style="6" bestFit="1" customWidth="1"/>
    <col min="32" max="32" width="40.85546875" style="6" bestFit="1" customWidth="1"/>
    <col min="33" max="33" width="15.7109375" style="10" bestFit="1" customWidth="1"/>
    <col min="34" max="34" width="53.85546875" style="6" bestFit="1" customWidth="1"/>
    <col min="35" max="16384" width="9.140625" style="18"/>
  </cols>
  <sheetData>
    <row r="1" spans="1:34" s="94" customFormat="1" ht="60" x14ac:dyDescent="0.25">
      <c r="A1" s="4" t="s">
        <v>0</v>
      </c>
      <c r="B1" s="4" t="s">
        <v>827</v>
      </c>
      <c r="C1" s="4" t="s">
        <v>1</v>
      </c>
      <c r="D1" s="4" t="s">
        <v>903</v>
      </c>
      <c r="E1" s="4" t="s">
        <v>2</v>
      </c>
      <c r="F1" s="4" t="s">
        <v>3</v>
      </c>
      <c r="G1" s="4" t="s">
        <v>46</v>
      </c>
      <c r="H1" s="4" t="s">
        <v>276</v>
      </c>
      <c r="I1" s="4" t="s">
        <v>753</v>
      </c>
      <c r="J1" s="4" t="s">
        <v>244</v>
      </c>
      <c r="K1" s="4" t="s">
        <v>296</v>
      </c>
      <c r="L1" s="4" t="s">
        <v>196</v>
      </c>
      <c r="M1" s="4" t="s">
        <v>197</v>
      </c>
      <c r="N1" s="92" t="s">
        <v>322</v>
      </c>
      <c r="O1" s="4" t="s">
        <v>155</v>
      </c>
      <c r="P1" s="4" t="s">
        <v>28</v>
      </c>
      <c r="Q1" s="4" t="s">
        <v>154</v>
      </c>
      <c r="R1" s="4" t="s">
        <v>29</v>
      </c>
      <c r="S1" s="4" t="s">
        <v>5</v>
      </c>
      <c r="T1" s="4" t="s">
        <v>785</v>
      </c>
      <c r="U1" s="4" t="s">
        <v>786</v>
      </c>
      <c r="V1" s="4" t="s">
        <v>259</v>
      </c>
      <c r="W1" s="4" t="s">
        <v>41</v>
      </c>
      <c r="X1" s="4" t="s">
        <v>713</v>
      </c>
      <c r="Y1" s="4" t="s">
        <v>714</v>
      </c>
      <c r="Z1" s="4" t="s">
        <v>217</v>
      </c>
      <c r="AA1" s="4" t="s">
        <v>639</v>
      </c>
      <c r="AB1" s="4" t="s">
        <v>636</v>
      </c>
      <c r="AC1" s="4" t="s">
        <v>637</v>
      </c>
      <c r="AD1" s="4" t="s">
        <v>638</v>
      </c>
      <c r="AE1" s="4" t="s">
        <v>898</v>
      </c>
      <c r="AF1" s="4" t="s">
        <v>105</v>
      </c>
      <c r="AG1" s="93" t="s">
        <v>34</v>
      </c>
      <c r="AH1" s="4" t="s">
        <v>33</v>
      </c>
    </row>
    <row r="2" spans="1:34" hidden="1" x14ac:dyDescent="0.25">
      <c r="A2" s="11">
        <v>1</v>
      </c>
      <c r="B2" s="55"/>
      <c r="C2" s="38" t="s">
        <v>7</v>
      </c>
      <c r="D2" s="38" t="s">
        <v>900</v>
      </c>
      <c r="E2" s="31" t="s">
        <v>58</v>
      </c>
      <c r="F2" s="31" t="s">
        <v>57</v>
      </c>
      <c r="G2" s="31" t="s">
        <v>55</v>
      </c>
      <c r="H2" s="31">
        <v>80</v>
      </c>
      <c r="I2" s="31" t="s">
        <v>754</v>
      </c>
      <c r="J2" s="31" t="s">
        <v>701</v>
      </c>
      <c r="K2" s="31"/>
      <c r="L2" s="85" t="s">
        <v>273</v>
      </c>
      <c r="M2" s="85"/>
      <c r="N2" s="67">
        <v>100</v>
      </c>
      <c r="O2" s="31" t="s">
        <v>156</v>
      </c>
      <c r="P2" s="68">
        <v>47470</v>
      </c>
      <c r="Q2" s="68">
        <v>24133</v>
      </c>
      <c r="R2" s="68">
        <f t="shared" ref="R2:R28" si="0">P2+Q2</f>
        <v>71603</v>
      </c>
      <c r="S2" s="31">
        <f t="shared" ref="S2:S45" si="1">VLOOKUP(C2,Overall_Rank,2,)</f>
        <v>1</v>
      </c>
      <c r="T2" s="31">
        <f t="shared" ref="T2:T45" si="2">VLOOKUP(C2,Rank_Data_All,3,FALSE)</f>
        <v>46</v>
      </c>
      <c r="U2" s="31">
        <f t="shared" ref="U2:U45" si="3">VLOOKUP(C2,Rank_Data_All,5,FALSE)</f>
        <v>3</v>
      </c>
      <c r="V2" s="31">
        <f t="shared" ref="V2:V45" si="4">_xlfn.FLOOR.MATH(IF(E2&lt;&gt;"-",VLOOKUP(E2,Cities,7,),VLOOKUP(E2,States,6,))*100)</f>
        <v>10</v>
      </c>
      <c r="W2" s="31">
        <v>23.7</v>
      </c>
      <c r="X2" s="31">
        <f t="shared" ref="X2:X45" si="5">VLOOKUP(C2,Rank_Data_All,37,FALSE)</f>
        <v>0.54</v>
      </c>
      <c r="Y2" s="31">
        <f t="shared" ref="Y2:Y45" si="6">VLOOKUP(C2,Rank_Data_All,9,FALSE)</f>
        <v>82.4</v>
      </c>
      <c r="Z2" s="82">
        <v>117357</v>
      </c>
      <c r="AA2" s="69">
        <v>13991</v>
      </c>
      <c r="AB2" s="69">
        <v>6683</v>
      </c>
      <c r="AC2" s="71">
        <v>72</v>
      </c>
      <c r="AD2" s="69">
        <v>1360</v>
      </c>
      <c r="AE2" s="31">
        <v>0</v>
      </c>
      <c r="AF2" s="31" t="s">
        <v>194</v>
      </c>
      <c r="AG2" s="95">
        <v>13</v>
      </c>
      <c r="AH2" s="31"/>
    </row>
    <row r="3" spans="1:34" hidden="1" x14ac:dyDescent="0.25">
      <c r="A3" s="11">
        <v>2</v>
      </c>
      <c r="B3" s="54"/>
      <c r="C3" s="36" t="s">
        <v>373</v>
      </c>
      <c r="D3" s="36" t="s">
        <v>902</v>
      </c>
      <c r="E3" s="31" t="s">
        <v>99</v>
      </c>
      <c r="F3" s="31" t="s">
        <v>94</v>
      </c>
      <c r="G3" s="31" t="s">
        <v>55</v>
      </c>
      <c r="H3" s="31">
        <v>50</v>
      </c>
      <c r="I3" s="31" t="s">
        <v>754</v>
      </c>
      <c r="J3" s="31" t="s">
        <v>253</v>
      </c>
      <c r="K3" s="31"/>
      <c r="L3" s="31"/>
      <c r="M3" s="66">
        <v>43816</v>
      </c>
      <c r="N3" s="67">
        <v>90</v>
      </c>
      <c r="O3" s="31" t="s">
        <v>156</v>
      </c>
      <c r="P3" s="68">
        <v>55754</v>
      </c>
      <c r="Q3" s="68">
        <v>22263</v>
      </c>
      <c r="R3" s="68">
        <f t="shared" si="0"/>
        <v>78017</v>
      </c>
      <c r="S3" s="31">
        <f t="shared" si="1"/>
        <v>4</v>
      </c>
      <c r="T3" s="31">
        <f t="shared" si="2"/>
        <v>27</v>
      </c>
      <c r="U3" s="31">
        <f t="shared" si="3"/>
        <v>4</v>
      </c>
      <c r="V3" s="31">
        <f t="shared" si="4"/>
        <v>66</v>
      </c>
      <c r="W3" s="31">
        <v>12</v>
      </c>
      <c r="X3" s="31">
        <f t="shared" si="5"/>
        <v>4.5199999999999996</v>
      </c>
      <c r="Y3" s="31">
        <f t="shared" si="6"/>
        <v>89</v>
      </c>
      <c r="Z3" s="31"/>
      <c r="AA3" s="69">
        <v>40056</v>
      </c>
      <c r="AB3" s="69">
        <v>6741</v>
      </c>
      <c r="AC3" s="71">
        <v>41</v>
      </c>
      <c r="AD3" s="69">
        <v>2773</v>
      </c>
      <c r="AE3" s="31">
        <v>0</v>
      </c>
      <c r="AF3" s="31" t="s">
        <v>758</v>
      </c>
      <c r="AG3" s="95">
        <v>18</v>
      </c>
      <c r="AH3" s="31"/>
    </row>
    <row r="4" spans="1:34" hidden="1" x14ac:dyDescent="0.25">
      <c r="A4" s="11">
        <v>3</v>
      </c>
      <c r="B4" s="55"/>
      <c r="C4" s="2" t="s">
        <v>118</v>
      </c>
      <c r="D4" s="2" t="s">
        <v>905</v>
      </c>
      <c r="E4" s="72" t="s">
        <v>144</v>
      </c>
      <c r="F4" s="72" t="s">
        <v>68</v>
      </c>
      <c r="G4" s="72" t="s">
        <v>55</v>
      </c>
      <c r="H4" s="72">
        <v>70</v>
      </c>
      <c r="I4" s="72" t="s">
        <v>754</v>
      </c>
      <c r="J4" s="72" t="s">
        <v>684</v>
      </c>
      <c r="K4" s="72"/>
      <c r="L4" s="72"/>
      <c r="M4" s="73">
        <v>43497</v>
      </c>
      <c r="N4" s="74"/>
      <c r="O4" s="72" t="s">
        <v>156</v>
      </c>
      <c r="P4" s="75">
        <v>29585</v>
      </c>
      <c r="Q4" s="75">
        <v>17365</v>
      </c>
      <c r="R4" s="75">
        <f t="shared" si="0"/>
        <v>46950</v>
      </c>
      <c r="S4" s="72">
        <f t="shared" si="1"/>
        <v>5</v>
      </c>
      <c r="T4" s="72">
        <f t="shared" si="2"/>
        <v>14</v>
      </c>
      <c r="U4" s="72">
        <f t="shared" si="3"/>
        <v>25</v>
      </c>
      <c r="V4" s="72">
        <f t="shared" si="4"/>
        <v>0</v>
      </c>
      <c r="W4" s="72">
        <v>15.1</v>
      </c>
      <c r="X4" s="72">
        <f t="shared" si="5"/>
        <v>4.0999999999999996</v>
      </c>
      <c r="Y4" s="72">
        <f t="shared" si="6"/>
        <v>76.900000000000006</v>
      </c>
      <c r="Z4" s="72"/>
      <c r="AA4" s="76">
        <v>22144</v>
      </c>
      <c r="AB4" s="76">
        <v>5446</v>
      </c>
      <c r="AC4" s="77">
        <v>62</v>
      </c>
      <c r="AD4" s="76">
        <v>2730</v>
      </c>
      <c r="AE4" s="72">
        <v>0</v>
      </c>
      <c r="AF4" s="72"/>
      <c r="AG4" s="96">
        <v>9</v>
      </c>
      <c r="AH4" s="72" t="s">
        <v>909</v>
      </c>
    </row>
    <row r="5" spans="1:34" hidden="1" x14ac:dyDescent="0.25">
      <c r="A5" s="11">
        <v>4</v>
      </c>
      <c r="B5" s="54"/>
      <c r="C5" s="33" t="s">
        <v>122</v>
      </c>
      <c r="D5" s="33" t="s">
        <v>904</v>
      </c>
      <c r="E5" s="31" t="s">
        <v>147</v>
      </c>
      <c r="F5" s="31" t="s">
        <v>135</v>
      </c>
      <c r="G5" s="31" t="s">
        <v>55</v>
      </c>
      <c r="H5" s="31">
        <v>50</v>
      </c>
      <c r="I5" s="31" t="s">
        <v>754</v>
      </c>
      <c r="J5" s="31" t="s">
        <v>242</v>
      </c>
      <c r="K5" s="31"/>
      <c r="L5" s="31"/>
      <c r="M5" s="66">
        <v>43480</v>
      </c>
      <c r="N5" s="67">
        <v>100</v>
      </c>
      <c r="O5" s="31" t="s">
        <v>156</v>
      </c>
      <c r="P5" s="68">
        <v>51377</v>
      </c>
      <c r="Q5" s="68">
        <v>13986</v>
      </c>
      <c r="R5" s="68">
        <f t="shared" si="0"/>
        <v>65363</v>
      </c>
      <c r="S5" s="31">
        <f t="shared" si="1"/>
        <v>6</v>
      </c>
      <c r="T5" s="31">
        <f t="shared" si="2"/>
        <v>20</v>
      </c>
      <c r="U5" s="31">
        <f t="shared" si="3"/>
        <v>45</v>
      </c>
      <c r="V5" s="31">
        <f t="shared" si="4"/>
        <v>5</v>
      </c>
      <c r="W5" s="31">
        <v>9.6</v>
      </c>
      <c r="X5" s="31">
        <f t="shared" si="5"/>
        <v>5.77</v>
      </c>
      <c r="Y5" s="31">
        <f t="shared" si="6"/>
        <v>80</v>
      </c>
      <c r="Z5" s="31"/>
      <c r="AA5" s="69">
        <v>43874</v>
      </c>
      <c r="AB5" s="69">
        <v>7755</v>
      </c>
      <c r="AC5" s="71">
        <v>64</v>
      </c>
      <c r="AD5" s="69">
        <v>7255</v>
      </c>
      <c r="AE5" s="31">
        <v>0</v>
      </c>
      <c r="AF5" s="31"/>
      <c r="AG5" s="95">
        <v>15</v>
      </c>
      <c r="AH5" s="31" t="s">
        <v>678</v>
      </c>
    </row>
    <row r="6" spans="1:34" hidden="1" x14ac:dyDescent="0.25">
      <c r="A6" s="11">
        <v>5</v>
      </c>
      <c r="B6" s="55"/>
      <c r="C6" s="38" t="s">
        <v>201</v>
      </c>
      <c r="D6" s="38" t="s">
        <v>900</v>
      </c>
      <c r="E6" s="2" t="s">
        <v>67</v>
      </c>
      <c r="F6" s="2" t="s">
        <v>66</v>
      </c>
      <c r="G6" s="2" t="s">
        <v>55</v>
      </c>
      <c r="H6" s="2">
        <v>80</v>
      </c>
      <c r="I6" s="2" t="s">
        <v>754</v>
      </c>
      <c r="J6" s="2" t="s">
        <v>245</v>
      </c>
      <c r="K6" s="2"/>
      <c r="L6" s="2"/>
      <c r="M6" s="15">
        <v>43497</v>
      </c>
      <c r="N6" s="24">
        <v>90</v>
      </c>
      <c r="O6" s="2" t="s">
        <v>156</v>
      </c>
      <c r="P6" s="3">
        <v>29954</v>
      </c>
      <c r="Q6" s="3">
        <v>14918</v>
      </c>
      <c r="R6" s="3">
        <f t="shared" si="0"/>
        <v>44872</v>
      </c>
      <c r="S6" s="2">
        <f t="shared" si="1"/>
        <v>7</v>
      </c>
      <c r="T6" s="2">
        <f t="shared" si="2"/>
        <v>69</v>
      </c>
      <c r="U6" s="2">
        <f t="shared" si="3"/>
        <v>21</v>
      </c>
      <c r="V6" s="11">
        <f t="shared" si="4"/>
        <v>27</v>
      </c>
      <c r="W6" s="2">
        <v>32</v>
      </c>
      <c r="X6" s="2">
        <f t="shared" si="5"/>
        <v>8.85</v>
      </c>
      <c r="Y6" s="2">
        <f t="shared" si="6"/>
        <v>79.3</v>
      </c>
      <c r="Z6" s="2"/>
      <c r="AA6" s="41">
        <v>22007</v>
      </c>
      <c r="AB6" s="41">
        <v>5022</v>
      </c>
      <c r="AC6" s="40">
        <v>71</v>
      </c>
      <c r="AD6" s="41">
        <v>1197</v>
      </c>
      <c r="AE6" s="2">
        <v>5</v>
      </c>
      <c r="AF6" s="2"/>
      <c r="AG6" s="97">
        <v>20</v>
      </c>
      <c r="AH6" s="2"/>
    </row>
    <row r="7" spans="1:34" hidden="1" x14ac:dyDescent="0.25">
      <c r="A7" s="11">
        <v>6</v>
      </c>
      <c r="B7" s="54"/>
      <c r="C7" s="33" t="s">
        <v>120</v>
      </c>
      <c r="D7" s="33" t="s">
        <v>904</v>
      </c>
      <c r="E7" s="2" t="s">
        <v>65</v>
      </c>
      <c r="F7" s="2" t="s">
        <v>73</v>
      </c>
      <c r="G7" s="2" t="s">
        <v>55</v>
      </c>
      <c r="H7" s="2">
        <v>50</v>
      </c>
      <c r="I7" s="2" t="s">
        <v>754</v>
      </c>
      <c r="J7" s="2" t="s">
        <v>242</v>
      </c>
      <c r="K7" s="2"/>
      <c r="L7" s="53" t="s">
        <v>273</v>
      </c>
      <c r="M7" s="53"/>
      <c r="N7" s="24"/>
      <c r="O7" s="2" t="s">
        <v>156</v>
      </c>
      <c r="P7" s="3">
        <v>32096</v>
      </c>
      <c r="Q7" s="3">
        <v>13810</v>
      </c>
      <c r="R7" s="3">
        <f t="shared" si="0"/>
        <v>45906</v>
      </c>
      <c r="S7" s="2">
        <f t="shared" si="1"/>
        <v>8</v>
      </c>
      <c r="T7" s="2">
        <f t="shared" si="2"/>
        <v>71</v>
      </c>
      <c r="U7" s="2">
        <f t="shared" si="3"/>
        <v>28</v>
      </c>
      <c r="V7" s="11">
        <f t="shared" si="4"/>
        <v>23</v>
      </c>
      <c r="W7" s="2">
        <v>65.599999999999994</v>
      </c>
      <c r="X7" s="2">
        <f t="shared" si="5"/>
        <v>7.91</v>
      </c>
      <c r="Y7" s="2">
        <f t="shared" si="6"/>
        <v>73.900000000000006</v>
      </c>
      <c r="Z7" s="2"/>
      <c r="AA7" s="41">
        <v>43283</v>
      </c>
      <c r="AB7" s="41">
        <v>9775</v>
      </c>
      <c r="AC7" s="40">
        <v>49</v>
      </c>
      <c r="AD7" s="41">
        <v>2639</v>
      </c>
      <c r="AE7" s="2">
        <v>0</v>
      </c>
      <c r="AF7" s="2"/>
      <c r="AG7" s="97">
        <v>20</v>
      </c>
      <c r="AH7" s="2"/>
    </row>
    <row r="8" spans="1:34" hidden="1" x14ac:dyDescent="0.25">
      <c r="A8" s="11">
        <v>7</v>
      </c>
      <c r="B8" s="55"/>
      <c r="C8" s="33" t="s">
        <v>387</v>
      </c>
      <c r="D8" s="33" t="s">
        <v>904</v>
      </c>
      <c r="E8" s="31" t="s">
        <v>59</v>
      </c>
      <c r="F8" s="31" t="s">
        <v>60</v>
      </c>
      <c r="G8" s="31" t="s">
        <v>55</v>
      </c>
      <c r="H8" s="31">
        <v>20</v>
      </c>
      <c r="I8" s="31" t="s">
        <v>754</v>
      </c>
      <c r="J8" s="31" t="s">
        <v>245</v>
      </c>
      <c r="K8" s="31"/>
      <c r="L8" s="31" t="s">
        <v>274</v>
      </c>
      <c r="M8" s="66">
        <v>43511</v>
      </c>
      <c r="N8" s="67">
        <v>100</v>
      </c>
      <c r="O8" s="31" t="s">
        <v>156</v>
      </c>
      <c r="P8" s="68">
        <v>48432</v>
      </c>
      <c r="Q8" s="68">
        <v>34362</v>
      </c>
      <c r="R8" s="68">
        <f t="shared" si="0"/>
        <v>82794</v>
      </c>
      <c r="S8" s="31">
        <f t="shared" si="1"/>
        <v>10</v>
      </c>
      <c r="T8" s="31">
        <f t="shared" si="2"/>
        <v>16</v>
      </c>
      <c r="U8" s="31">
        <f t="shared" si="3"/>
        <v>24</v>
      </c>
      <c r="V8" s="31">
        <f t="shared" si="4"/>
        <v>58</v>
      </c>
      <c r="W8" s="31">
        <v>6.6</v>
      </c>
      <c r="X8" s="31">
        <f t="shared" si="5"/>
        <v>14.51</v>
      </c>
      <c r="Y8" s="31">
        <f t="shared" si="6"/>
        <v>81</v>
      </c>
      <c r="Z8" s="31"/>
      <c r="AA8" s="69">
        <v>26160</v>
      </c>
      <c r="AB8" s="69">
        <v>8966</v>
      </c>
      <c r="AC8" s="71">
        <v>86</v>
      </c>
      <c r="AD8" s="69">
        <v>6315</v>
      </c>
      <c r="AE8" s="31">
        <v>0</v>
      </c>
      <c r="AF8" s="31" t="s">
        <v>191</v>
      </c>
      <c r="AG8" s="95">
        <v>6</v>
      </c>
      <c r="AH8" s="31"/>
    </row>
    <row r="9" spans="1:34" hidden="1" x14ac:dyDescent="0.25">
      <c r="A9" s="11">
        <v>8</v>
      </c>
      <c r="B9" s="54"/>
      <c r="C9" s="11" t="s">
        <v>378</v>
      </c>
      <c r="D9" s="11" t="s">
        <v>905</v>
      </c>
      <c r="E9" s="31" t="s">
        <v>140</v>
      </c>
      <c r="F9" s="31" t="s">
        <v>94</v>
      </c>
      <c r="G9" s="31" t="s">
        <v>55</v>
      </c>
      <c r="H9" s="31">
        <v>80</v>
      </c>
      <c r="I9" s="31" t="s">
        <v>754</v>
      </c>
      <c r="J9" s="31" t="s">
        <v>253</v>
      </c>
      <c r="K9" s="31"/>
      <c r="L9" s="31"/>
      <c r="M9" s="66">
        <v>43435</v>
      </c>
      <c r="N9" s="67">
        <v>87</v>
      </c>
      <c r="O9" s="31" t="s">
        <v>156</v>
      </c>
      <c r="P9" s="68">
        <f>13225+28992</f>
        <v>42217</v>
      </c>
      <c r="Q9" s="68">
        <f xml:space="preserve"> 13806+1509+867+1680+2225</f>
        <v>20087</v>
      </c>
      <c r="R9" s="68">
        <f t="shared" si="0"/>
        <v>62304</v>
      </c>
      <c r="S9" s="31">
        <f t="shared" si="1"/>
        <v>11</v>
      </c>
      <c r="T9" s="31">
        <f t="shared" si="2"/>
        <v>32</v>
      </c>
      <c r="U9" s="31">
        <f t="shared" si="3"/>
        <v>13</v>
      </c>
      <c r="V9" s="31">
        <f t="shared" si="4"/>
        <v>31</v>
      </c>
      <c r="W9" s="31">
        <v>17.3</v>
      </c>
      <c r="X9" s="31">
        <f t="shared" si="5"/>
        <v>16.760000000000002</v>
      </c>
      <c r="Y9" s="31">
        <f t="shared" si="6"/>
        <v>85.9</v>
      </c>
      <c r="Z9" s="31"/>
      <c r="AA9" s="69">
        <v>43800</v>
      </c>
      <c r="AB9" s="69">
        <v>6955</v>
      </c>
      <c r="AC9" s="71">
        <v>48</v>
      </c>
      <c r="AD9" s="69">
        <v>4079</v>
      </c>
      <c r="AE9" s="31">
        <v>0</v>
      </c>
      <c r="AF9" s="31" t="s">
        <v>712</v>
      </c>
      <c r="AG9" s="95">
        <v>12</v>
      </c>
      <c r="AH9" s="31"/>
    </row>
    <row r="10" spans="1:34" hidden="1" x14ac:dyDescent="0.25">
      <c r="A10" s="11">
        <v>9</v>
      </c>
      <c r="B10" s="54"/>
      <c r="C10" s="33" t="s">
        <v>79</v>
      </c>
      <c r="D10" s="33" t="s">
        <v>904</v>
      </c>
      <c r="E10" s="72" t="s">
        <v>103</v>
      </c>
      <c r="F10" s="72" t="s">
        <v>57</v>
      </c>
      <c r="G10" s="72" t="s">
        <v>55</v>
      </c>
      <c r="H10" s="72">
        <v>60</v>
      </c>
      <c r="I10" s="72" t="s">
        <v>754</v>
      </c>
      <c r="J10" s="72" t="s">
        <v>725</v>
      </c>
      <c r="K10" s="72"/>
      <c r="L10" s="73">
        <v>43419</v>
      </c>
      <c r="M10" s="73">
        <v>43539</v>
      </c>
      <c r="N10" s="74">
        <v>100</v>
      </c>
      <c r="O10" s="72" t="s">
        <v>156</v>
      </c>
      <c r="P10" s="75">
        <v>55687</v>
      </c>
      <c r="Q10" s="75">
        <v>17212</v>
      </c>
      <c r="R10" s="75">
        <f t="shared" si="0"/>
        <v>72899</v>
      </c>
      <c r="S10" s="72">
        <f t="shared" si="1"/>
        <v>13</v>
      </c>
      <c r="T10" s="72">
        <f t="shared" si="2"/>
        <v>19</v>
      </c>
      <c r="U10" s="72">
        <f t="shared" si="3"/>
        <v>37</v>
      </c>
      <c r="V10" s="72">
        <f t="shared" si="4"/>
        <v>24</v>
      </c>
      <c r="W10" s="72">
        <v>10.199999999999999</v>
      </c>
      <c r="X10" s="72">
        <f t="shared" si="5"/>
        <v>14.93</v>
      </c>
      <c r="Y10" s="72">
        <f t="shared" si="6"/>
        <v>79</v>
      </c>
      <c r="Z10" s="72"/>
      <c r="AA10" s="76">
        <v>20852</v>
      </c>
      <c r="AB10" s="76">
        <v>4450</v>
      </c>
      <c r="AC10" s="77">
        <v>72</v>
      </c>
      <c r="AD10" s="76">
        <v>5703</v>
      </c>
      <c r="AE10" s="72">
        <v>0</v>
      </c>
      <c r="AF10" s="72"/>
      <c r="AG10" s="96">
        <v>6</v>
      </c>
      <c r="AH10" s="72"/>
    </row>
    <row r="11" spans="1:34" hidden="1" x14ac:dyDescent="0.25">
      <c r="A11" s="11">
        <v>10</v>
      </c>
      <c r="B11" s="54"/>
      <c r="C11" s="36" t="s">
        <v>119</v>
      </c>
      <c r="D11" s="36" t="s">
        <v>902</v>
      </c>
      <c r="E11" s="2" t="s">
        <v>134</v>
      </c>
      <c r="F11" s="2" t="s">
        <v>82</v>
      </c>
      <c r="G11" s="2" t="s">
        <v>55</v>
      </c>
      <c r="H11" s="2">
        <v>40</v>
      </c>
      <c r="I11" s="2" t="s">
        <v>754</v>
      </c>
      <c r="J11" s="2" t="s">
        <v>242</v>
      </c>
      <c r="K11" s="2"/>
      <c r="L11" s="2"/>
      <c r="M11" s="15">
        <v>43449</v>
      </c>
      <c r="N11" s="24"/>
      <c r="O11" s="2" t="s">
        <v>156</v>
      </c>
      <c r="P11" s="3">
        <v>37838</v>
      </c>
      <c r="Q11" s="3">
        <v>14380</v>
      </c>
      <c r="R11" s="3">
        <f t="shared" si="0"/>
        <v>52218</v>
      </c>
      <c r="S11" s="2">
        <f t="shared" si="1"/>
        <v>14</v>
      </c>
      <c r="T11" s="2">
        <f t="shared" si="2"/>
        <v>63</v>
      </c>
      <c r="U11" s="2">
        <f t="shared" si="3"/>
        <v>27</v>
      </c>
      <c r="V11" s="11">
        <f t="shared" si="4"/>
        <v>30</v>
      </c>
      <c r="W11" s="2">
        <v>9</v>
      </c>
      <c r="X11" s="2">
        <f t="shared" si="5"/>
        <v>15.1</v>
      </c>
      <c r="Y11" s="2">
        <f t="shared" si="6"/>
        <v>74.7</v>
      </c>
      <c r="Z11" s="2"/>
      <c r="AA11" s="41">
        <v>48485</v>
      </c>
      <c r="AB11" s="39">
        <v>4973</v>
      </c>
      <c r="AC11" s="40">
        <v>60</v>
      </c>
      <c r="AD11" s="39">
        <v>2856</v>
      </c>
      <c r="AE11" s="2">
        <v>1</v>
      </c>
      <c r="AF11" s="2"/>
      <c r="AG11" s="97">
        <v>18</v>
      </c>
      <c r="AH11" s="2" t="s">
        <v>690</v>
      </c>
    </row>
    <row r="12" spans="1:34" hidden="1" x14ac:dyDescent="0.25">
      <c r="A12" s="11">
        <v>11</v>
      </c>
      <c r="B12" s="54"/>
      <c r="C12" s="11" t="s">
        <v>379</v>
      </c>
      <c r="D12" s="11" t="s">
        <v>905</v>
      </c>
      <c r="E12" s="2" t="s">
        <v>845</v>
      </c>
      <c r="F12" s="2" t="s">
        <v>94</v>
      </c>
      <c r="G12" s="2" t="s">
        <v>55</v>
      </c>
      <c r="H12" s="2">
        <v>70</v>
      </c>
      <c r="I12" s="2" t="s">
        <v>754</v>
      </c>
      <c r="J12" s="2"/>
      <c r="K12" s="2"/>
      <c r="L12" s="2"/>
      <c r="M12" s="15">
        <v>43816</v>
      </c>
      <c r="N12" s="24">
        <v>85</v>
      </c>
      <c r="O12" s="2" t="s">
        <v>156</v>
      </c>
      <c r="P12" s="3">
        <f>17007+15102</f>
        <v>32109</v>
      </c>
      <c r="Q12" s="3">
        <f>13116+1371+2748+2313</f>
        <v>19548</v>
      </c>
      <c r="R12" s="3">
        <f t="shared" si="0"/>
        <v>51657</v>
      </c>
      <c r="S12" s="2">
        <f t="shared" si="1"/>
        <v>15</v>
      </c>
      <c r="T12" s="2">
        <f t="shared" si="2"/>
        <v>41</v>
      </c>
      <c r="U12" s="2">
        <f t="shared" si="3"/>
        <v>45</v>
      </c>
      <c r="V12" s="11">
        <f t="shared" si="4"/>
        <v>15</v>
      </c>
      <c r="W12" s="2">
        <v>33.700000000000003</v>
      </c>
      <c r="X12" s="2">
        <f t="shared" si="5"/>
        <v>18.579999999999998</v>
      </c>
      <c r="Y12" s="2">
        <f t="shared" si="6"/>
        <v>66.8</v>
      </c>
      <c r="Z12" s="2"/>
      <c r="AA12" s="41">
        <v>33935</v>
      </c>
      <c r="AB12" s="41">
        <v>7928</v>
      </c>
      <c r="AC12" s="40">
        <v>33</v>
      </c>
      <c r="AD12" s="41">
        <v>3868</v>
      </c>
      <c r="AE12" s="2">
        <v>4</v>
      </c>
      <c r="AF12" s="2"/>
      <c r="AG12" s="97">
        <v>19</v>
      </c>
      <c r="AH12" s="2"/>
    </row>
    <row r="13" spans="1:34" hidden="1" x14ac:dyDescent="0.25">
      <c r="A13" s="11">
        <v>12</v>
      </c>
      <c r="B13" s="54"/>
      <c r="C13" s="38" t="s">
        <v>123</v>
      </c>
      <c r="D13" s="38" t="s">
        <v>901</v>
      </c>
      <c r="E13" s="31" t="s">
        <v>140</v>
      </c>
      <c r="F13" s="31" t="s">
        <v>94</v>
      </c>
      <c r="G13" s="31" t="s">
        <v>55</v>
      </c>
      <c r="H13" s="31">
        <v>70</v>
      </c>
      <c r="I13" s="31" t="s">
        <v>754</v>
      </c>
      <c r="J13" s="31" t="s">
        <v>242</v>
      </c>
      <c r="K13" s="31">
        <v>1</v>
      </c>
      <c r="L13" s="66">
        <v>43449</v>
      </c>
      <c r="M13" s="66">
        <v>43480</v>
      </c>
      <c r="N13" s="67">
        <v>90</v>
      </c>
      <c r="O13" s="31" t="s">
        <v>156</v>
      </c>
      <c r="P13" s="68">
        <v>45790</v>
      </c>
      <c r="Q13" s="68">
        <v>17289</v>
      </c>
      <c r="R13" s="68">
        <f t="shared" si="0"/>
        <v>63079</v>
      </c>
      <c r="S13" s="31">
        <f t="shared" si="1"/>
        <v>16</v>
      </c>
      <c r="T13" s="31">
        <f t="shared" si="2"/>
        <v>115</v>
      </c>
      <c r="U13" s="31">
        <f t="shared" si="3"/>
        <v>47</v>
      </c>
      <c r="V13" s="31">
        <f t="shared" si="4"/>
        <v>31</v>
      </c>
      <c r="W13" s="31">
        <v>17.7</v>
      </c>
      <c r="X13" s="31">
        <f t="shared" si="5"/>
        <v>13.9</v>
      </c>
      <c r="Y13" s="31">
        <f t="shared" si="6"/>
        <v>69.7</v>
      </c>
      <c r="Z13" s="31"/>
      <c r="AA13" s="69">
        <v>30617</v>
      </c>
      <c r="AB13" s="69">
        <v>9595</v>
      </c>
      <c r="AC13" s="71">
        <v>74</v>
      </c>
      <c r="AD13" s="69">
        <v>3185</v>
      </c>
      <c r="AE13" s="31">
        <v>2</v>
      </c>
      <c r="AF13" s="31"/>
      <c r="AG13" s="95">
        <v>8</v>
      </c>
      <c r="AH13" s="31"/>
    </row>
    <row r="14" spans="1:34" hidden="1" x14ac:dyDescent="0.25">
      <c r="A14" s="11">
        <v>13</v>
      </c>
      <c r="B14" s="54"/>
      <c r="C14" s="38" t="s">
        <v>380</v>
      </c>
      <c r="D14" s="38" t="s">
        <v>900</v>
      </c>
      <c r="E14" s="2" t="s">
        <v>846</v>
      </c>
      <c r="F14" s="2" t="s">
        <v>127</v>
      </c>
      <c r="G14" s="2" t="s">
        <v>55</v>
      </c>
      <c r="H14" s="2">
        <v>80</v>
      </c>
      <c r="I14" s="2" t="s">
        <v>754</v>
      </c>
      <c r="J14" s="2" t="s">
        <v>751</v>
      </c>
      <c r="K14" s="2"/>
      <c r="L14" s="2"/>
      <c r="M14" s="15">
        <v>43448</v>
      </c>
      <c r="N14" s="24">
        <v>100</v>
      </c>
      <c r="O14" s="2" t="s">
        <v>156</v>
      </c>
      <c r="P14" s="3">
        <v>34498</v>
      </c>
      <c r="Q14" s="3">
        <v>15004</v>
      </c>
      <c r="R14" s="3">
        <f t="shared" si="0"/>
        <v>49502</v>
      </c>
      <c r="S14" s="2">
        <f t="shared" si="1"/>
        <v>17</v>
      </c>
      <c r="T14" s="2">
        <f t="shared" si="2"/>
        <v>126</v>
      </c>
      <c r="U14" s="2">
        <f t="shared" si="3"/>
        <v>75</v>
      </c>
      <c r="V14" s="11">
        <f t="shared" si="4"/>
        <v>99</v>
      </c>
      <c r="W14" s="2">
        <v>44.9</v>
      </c>
      <c r="X14" s="2">
        <f t="shared" si="5"/>
        <v>11.49</v>
      </c>
      <c r="Y14" s="2">
        <f t="shared" si="6"/>
        <v>59.2</v>
      </c>
      <c r="Z14" s="2"/>
      <c r="AA14" s="41">
        <v>35670</v>
      </c>
      <c r="AB14" s="41">
        <v>4522</v>
      </c>
      <c r="AC14" s="40">
        <v>76</v>
      </c>
      <c r="AD14" s="41">
        <v>3712</v>
      </c>
      <c r="AE14" s="2">
        <v>5</v>
      </c>
      <c r="AF14" s="2"/>
      <c r="AG14" s="97">
        <v>17</v>
      </c>
      <c r="AH14" s="2"/>
    </row>
    <row r="15" spans="1:34" hidden="1" x14ac:dyDescent="0.25">
      <c r="A15" s="11">
        <v>14</v>
      </c>
      <c r="B15" s="54"/>
      <c r="C15" s="33" t="s">
        <v>11</v>
      </c>
      <c r="D15" s="33" t="s">
        <v>904</v>
      </c>
      <c r="E15" s="31" t="s">
        <v>69</v>
      </c>
      <c r="F15" s="31" t="s">
        <v>68</v>
      </c>
      <c r="G15" s="31" t="s">
        <v>55</v>
      </c>
      <c r="H15" s="31">
        <v>50</v>
      </c>
      <c r="I15" s="31" t="s">
        <v>754</v>
      </c>
      <c r="J15" s="31" t="s">
        <v>247</v>
      </c>
      <c r="K15" s="31"/>
      <c r="L15" s="31"/>
      <c r="M15" s="81" t="s">
        <v>278</v>
      </c>
      <c r="N15" s="67">
        <v>100</v>
      </c>
      <c r="O15" s="31" t="s">
        <v>156</v>
      </c>
      <c r="P15" s="68">
        <v>51828</v>
      </c>
      <c r="Q15" s="68">
        <v>22848</v>
      </c>
      <c r="R15" s="68">
        <f t="shared" si="0"/>
        <v>74676</v>
      </c>
      <c r="S15" s="31">
        <f t="shared" si="1"/>
        <v>19</v>
      </c>
      <c r="T15" s="31">
        <f t="shared" si="2"/>
        <v>43</v>
      </c>
      <c r="U15" s="31">
        <f t="shared" si="3"/>
        <v>33</v>
      </c>
      <c r="V15" s="31">
        <f t="shared" si="4"/>
        <v>81</v>
      </c>
      <c r="W15" s="31">
        <v>32.1</v>
      </c>
      <c r="X15" s="31">
        <f t="shared" si="5"/>
        <v>29.52</v>
      </c>
      <c r="Y15" s="31">
        <f t="shared" si="6"/>
        <v>76.099999999999994</v>
      </c>
      <c r="Z15" s="31"/>
      <c r="AA15" s="69">
        <v>44433</v>
      </c>
      <c r="AB15" s="69">
        <v>14013</v>
      </c>
      <c r="AC15" s="71">
        <v>59</v>
      </c>
      <c r="AD15" s="69">
        <v>7985</v>
      </c>
      <c r="AE15" s="31">
        <v>1</v>
      </c>
      <c r="AF15" s="31"/>
      <c r="AG15" s="95">
        <v>10</v>
      </c>
      <c r="AH15" s="31" t="s">
        <v>277</v>
      </c>
    </row>
    <row r="16" spans="1:34" hidden="1" x14ac:dyDescent="0.25">
      <c r="A16" s="11">
        <v>15</v>
      </c>
      <c r="B16" s="54"/>
      <c r="C16" s="36" t="s">
        <v>375</v>
      </c>
      <c r="D16" s="36" t="s">
        <v>902</v>
      </c>
      <c r="E16" s="2" t="s">
        <v>131</v>
      </c>
      <c r="F16" s="2" t="s">
        <v>130</v>
      </c>
      <c r="G16" s="2" t="s">
        <v>55</v>
      </c>
      <c r="H16" s="2">
        <v>70</v>
      </c>
      <c r="I16" s="2" t="s">
        <v>754</v>
      </c>
      <c r="J16" s="2" t="s">
        <v>772</v>
      </c>
      <c r="K16" s="2"/>
      <c r="L16" s="53" t="s">
        <v>273</v>
      </c>
      <c r="M16" s="53"/>
      <c r="N16" s="24"/>
      <c r="O16" s="2" t="s">
        <v>156</v>
      </c>
      <c r="P16" s="3">
        <v>25468</v>
      </c>
      <c r="Q16" s="3">
        <f>13500 + 4351 + 1200 + 1392</f>
        <v>20443</v>
      </c>
      <c r="R16" s="3">
        <f t="shared" si="0"/>
        <v>45911</v>
      </c>
      <c r="S16" s="2">
        <f t="shared" si="1"/>
        <v>22</v>
      </c>
      <c r="T16" s="2">
        <f t="shared" si="2"/>
        <v>53</v>
      </c>
      <c r="U16" s="2">
        <f t="shared" si="3"/>
        <v>75</v>
      </c>
      <c r="V16" s="11">
        <f t="shared" si="4"/>
        <v>3</v>
      </c>
      <c r="W16" s="2">
        <v>57.6</v>
      </c>
      <c r="X16" s="2">
        <f t="shared" si="5"/>
        <v>21.31</v>
      </c>
      <c r="Y16" s="2">
        <f t="shared" si="6"/>
        <v>69.099999999999994</v>
      </c>
      <c r="Z16" s="2"/>
      <c r="AA16" s="41">
        <v>39282</v>
      </c>
      <c r="AB16" s="41">
        <v>5145</v>
      </c>
      <c r="AC16" s="40">
        <v>48</v>
      </c>
      <c r="AD16" s="41">
        <v>5810</v>
      </c>
      <c r="AE16" s="2">
        <v>0</v>
      </c>
      <c r="AF16" s="2" t="s">
        <v>774</v>
      </c>
      <c r="AG16" s="97">
        <v>18</v>
      </c>
      <c r="AH16" s="2" t="s">
        <v>879</v>
      </c>
    </row>
    <row r="17" spans="1:34" x14ac:dyDescent="0.25">
      <c r="A17" s="11">
        <v>16</v>
      </c>
      <c r="B17" s="54"/>
      <c r="C17" s="2" t="s">
        <v>16</v>
      </c>
      <c r="D17" s="2" t="s">
        <v>905</v>
      </c>
      <c r="E17" s="2" t="s">
        <v>81</v>
      </c>
      <c r="F17" s="2" t="s">
        <v>80</v>
      </c>
      <c r="G17" s="2" t="s">
        <v>55</v>
      </c>
      <c r="H17" s="2">
        <v>60</v>
      </c>
      <c r="I17" s="2" t="s">
        <v>756</v>
      </c>
      <c r="J17" s="2" t="s">
        <v>251</v>
      </c>
      <c r="K17" s="2"/>
      <c r="L17" s="2"/>
      <c r="M17" s="15">
        <v>43454</v>
      </c>
      <c r="N17" s="24">
        <v>100</v>
      </c>
      <c r="O17" s="2" t="s">
        <v>156</v>
      </c>
      <c r="P17" s="3">
        <v>30794</v>
      </c>
      <c r="Q17" s="3">
        <v>12970</v>
      </c>
      <c r="R17" s="3">
        <f t="shared" si="0"/>
        <v>43764</v>
      </c>
      <c r="S17" s="2">
        <f t="shared" si="1"/>
        <v>24</v>
      </c>
      <c r="T17" s="2">
        <f t="shared" si="2"/>
        <v>100</v>
      </c>
      <c r="U17" s="2">
        <f t="shared" si="3"/>
        <v>75</v>
      </c>
      <c r="V17" s="11">
        <f t="shared" si="4"/>
        <v>0</v>
      </c>
      <c r="W17" s="2">
        <v>59</v>
      </c>
      <c r="X17" s="2">
        <f t="shared" si="5"/>
        <v>27.63</v>
      </c>
      <c r="Y17" s="2">
        <f t="shared" si="6"/>
        <v>74.900000000000006</v>
      </c>
      <c r="Z17" s="2"/>
      <c r="AA17" s="41">
        <v>37670</v>
      </c>
      <c r="AB17" s="41">
        <v>8431</v>
      </c>
      <c r="AC17" s="40">
        <v>41</v>
      </c>
      <c r="AD17" s="41">
        <v>3247</v>
      </c>
      <c r="AE17" s="2">
        <v>0</v>
      </c>
      <c r="AF17" s="2" t="s">
        <v>801</v>
      </c>
      <c r="AG17" s="97">
        <v>12</v>
      </c>
      <c r="AH17" s="2"/>
    </row>
    <row r="18" spans="1:34" hidden="1" x14ac:dyDescent="0.25">
      <c r="A18" s="11">
        <v>17</v>
      </c>
      <c r="B18" s="54"/>
      <c r="C18" s="37" t="s">
        <v>126</v>
      </c>
      <c r="D18" s="37" t="s">
        <v>906</v>
      </c>
      <c r="E18" s="28" t="s">
        <v>149</v>
      </c>
      <c r="F18" s="28" t="s">
        <v>127</v>
      </c>
      <c r="G18" s="28" t="s">
        <v>55</v>
      </c>
      <c r="H18" s="28">
        <v>40</v>
      </c>
      <c r="I18" s="28" t="s">
        <v>756</v>
      </c>
      <c r="J18" s="28" t="s">
        <v>651</v>
      </c>
      <c r="K18" s="28"/>
      <c r="L18" s="28"/>
      <c r="M18" s="59">
        <v>43511</v>
      </c>
      <c r="N18" s="60"/>
      <c r="O18" s="28" t="s">
        <v>156</v>
      </c>
      <c r="P18" s="61">
        <v>55955</v>
      </c>
      <c r="Q18" s="61">
        <v>16918</v>
      </c>
      <c r="R18" s="61">
        <f t="shared" si="0"/>
        <v>72873</v>
      </c>
      <c r="S18" s="28">
        <f t="shared" si="1"/>
        <v>28</v>
      </c>
      <c r="T18" s="28">
        <f t="shared" si="2"/>
        <v>21</v>
      </c>
      <c r="U18" s="28">
        <f t="shared" si="3"/>
        <v>75</v>
      </c>
      <c r="V18" s="28">
        <f t="shared" si="4"/>
        <v>33</v>
      </c>
      <c r="W18" s="28">
        <v>14.1</v>
      </c>
      <c r="X18" s="28">
        <f t="shared" si="5"/>
        <v>36.119999999999997</v>
      </c>
      <c r="Y18" s="28">
        <f t="shared" si="6"/>
        <v>69.5</v>
      </c>
      <c r="Z18" s="28"/>
      <c r="AA18" s="62">
        <v>16657</v>
      </c>
      <c r="AB18" s="63">
        <v>4346</v>
      </c>
      <c r="AC18" s="64">
        <v>81</v>
      </c>
      <c r="AD18" s="62">
        <v>4593</v>
      </c>
      <c r="AE18" s="28">
        <v>0</v>
      </c>
      <c r="AF18" s="28" t="s">
        <v>659</v>
      </c>
      <c r="AG18" s="98">
        <v>7</v>
      </c>
      <c r="AH18" s="28" t="s">
        <v>672</v>
      </c>
    </row>
    <row r="19" spans="1:34" hidden="1" x14ac:dyDescent="0.25">
      <c r="A19" s="11">
        <v>18</v>
      </c>
      <c r="B19" s="54"/>
      <c r="C19" s="36" t="s">
        <v>121</v>
      </c>
      <c r="D19" s="36" t="s">
        <v>902</v>
      </c>
      <c r="E19" s="31" t="s">
        <v>146</v>
      </c>
      <c r="F19" s="31" t="s">
        <v>145</v>
      </c>
      <c r="G19" s="31" t="s">
        <v>55</v>
      </c>
      <c r="H19" s="31">
        <v>50</v>
      </c>
      <c r="I19" s="31" t="s">
        <v>756</v>
      </c>
      <c r="J19" s="31" t="s">
        <v>684</v>
      </c>
      <c r="K19" s="31"/>
      <c r="L19" s="31"/>
      <c r="M19" s="66">
        <v>43467</v>
      </c>
      <c r="N19" s="67"/>
      <c r="O19" s="31" t="s">
        <v>156</v>
      </c>
      <c r="P19" s="68">
        <v>53395</v>
      </c>
      <c r="Q19" s="68">
        <v>16557</v>
      </c>
      <c r="R19" s="68">
        <f t="shared" si="0"/>
        <v>69952</v>
      </c>
      <c r="S19" s="31">
        <f t="shared" si="1"/>
        <v>29</v>
      </c>
      <c r="T19" s="31">
        <f t="shared" si="2"/>
        <v>15</v>
      </c>
      <c r="U19" s="31">
        <f t="shared" si="3"/>
        <v>39</v>
      </c>
      <c r="V19" s="31">
        <f t="shared" si="4"/>
        <v>2</v>
      </c>
      <c r="W19" s="31">
        <v>6.7</v>
      </c>
      <c r="X19" s="31">
        <f t="shared" si="5"/>
        <v>48.03</v>
      </c>
      <c r="Y19" s="31">
        <f t="shared" si="6"/>
        <v>86.8</v>
      </c>
      <c r="Z19" s="31"/>
      <c r="AA19" s="69">
        <v>12927</v>
      </c>
      <c r="AB19" s="69">
        <v>2633</v>
      </c>
      <c r="AC19" s="71">
        <v>77</v>
      </c>
      <c r="AD19" s="69">
        <v>5107</v>
      </c>
      <c r="AE19" s="31">
        <v>0</v>
      </c>
      <c r="AF19" s="31"/>
      <c r="AG19" s="95">
        <v>6</v>
      </c>
      <c r="AH19" s="31" t="s">
        <v>830</v>
      </c>
    </row>
    <row r="20" spans="1:34" x14ac:dyDescent="0.25">
      <c r="A20" s="11">
        <v>19</v>
      </c>
      <c r="B20" s="54"/>
      <c r="C20" s="107" t="s">
        <v>402</v>
      </c>
      <c r="D20" s="107" t="s">
        <v>901</v>
      </c>
      <c r="E20" s="2" t="s">
        <v>88</v>
      </c>
      <c r="F20" s="2" t="s">
        <v>94</v>
      </c>
      <c r="G20" s="2" t="s">
        <v>55</v>
      </c>
      <c r="H20" s="2">
        <v>60</v>
      </c>
      <c r="I20" s="2" t="s">
        <v>756</v>
      </c>
      <c r="J20" s="2" t="s">
        <v>253</v>
      </c>
      <c r="K20" s="2"/>
      <c r="L20" s="2"/>
      <c r="M20" s="15">
        <v>43449</v>
      </c>
      <c r="N20" s="24">
        <v>80</v>
      </c>
      <c r="O20" s="2" t="s">
        <v>156</v>
      </c>
      <c r="P20" s="3">
        <v>34400</v>
      </c>
      <c r="Q20" s="3">
        <v>18988.5</v>
      </c>
      <c r="R20" s="3">
        <f t="shared" si="0"/>
        <v>53388.5</v>
      </c>
      <c r="S20" s="2">
        <f t="shared" si="1"/>
        <v>31</v>
      </c>
      <c r="T20" s="2">
        <f t="shared" si="2"/>
        <v>169</v>
      </c>
      <c r="U20" s="2">
        <f t="shared" si="3"/>
        <v>75</v>
      </c>
      <c r="V20" s="11">
        <f t="shared" si="4"/>
        <v>13</v>
      </c>
      <c r="W20" s="2">
        <v>38.700000000000003</v>
      </c>
      <c r="X20" s="2">
        <f t="shared" si="5"/>
        <v>31.32</v>
      </c>
      <c r="Y20" s="2">
        <f t="shared" si="6"/>
        <v>61.1</v>
      </c>
      <c r="Z20" s="2"/>
      <c r="AA20" s="41">
        <v>34639</v>
      </c>
      <c r="AB20" s="41">
        <v>9420</v>
      </c>
      <c r="AC20" s="40">
        <v>21</v>
      </c>
      <c r="AD20" s="41">
        <v>1979</v>
      </c>
      <c r="AE20" s="2">
        <v>2</v>
      </c>
      <c r="AF20" s="2"/>
      <c r="AG20" s="97">
        <v>18</v>
      </c>
      <c r="AH20" s="2"/>
    </row>
    <row r="21" spans="1:34" hidden="1" x14ac:dyDescent="0.25">
      <c r="A21" s="11">
        <v>20</v>
      </c>
      <c r="B21" s="54"/>
      <c r="C21" s="47" t="s">
        <v>124</v>
      </c>
      <c r="D21" s="47" t="s">
        <v>907</v>
      </c>
      <c r="E21" s="31" t="s">
        <v>141</v>
      </c>
      <c r="F21" s="31" t="s">
        <v>60</v>
      </c>
      <c r="G21" s="31" t="s">
        <v>55</v>
      </c>
      <c r="H21" s="31">
        <v>60</v>
      </c>
      <c r="I21" s="31" t="s">
        <v>756</v>
      </c>
      <c r="J21" s="31" t="s">
        <v>336</v>
      </c>
      <c r="K21" s="31"/>
      <c r="L21" s="31"/>
      <c r="M21" s="66">
        <v>43586</v>
      </c>
      <c r="N21" s="67"/>
      <c r="O21" s="31" t="s">
        <v>156</v>
      </c>
      <c r="P21" s="68">
        <v>53613</v>
      </c>
      <c r="Q21" s="68">
        <v>17630</v>
      </c>
      <c r="R21" s="68">
        <f t="shared" si="0"/>
        <v>71243</v>
      </c>
      <c r="S21" s="31">
        <f t="shared" si="1"/>
        <v>32</v>
      </c>
      <c r="T21" s="31">
        <f t="shared" si="2"/>
        <v>93</v>
      </c>
      <c r="U21" s="31">
        <f t="shared" si="3"/>
        <v>75</v>
      </c>
      <c r="V21" s="31">
        <f t="shared" si="4"/>
        <v>57</v>
      </c>
      <c r="W21" s="31">
        <v>32.6</v>
      </c>
      <c r="X21" s="31">
        <f t="shared" si="5"/>
        <v>37.33</v>
      </c>
      <c r="Y21" s="31">
        <f t="shared" si="6"/>
        <v>75.400000000000006</v>
      </c>
      <c r="Z21" s="31"/>
      <c r="AA21" s="69">
        <v>26508</v>
      </c>
      <c r="AB21" s="70">
        <v>7479</v>
      </c>
      <c r="AC21" s="71">
        <v>43</v>
      </c>
      <c r="AD21" s="69">
        <v>3277</v>
      </c>
      <c r="AE21" s="31">
        <v>0</v>
      </c>
      <c r="AF21" s="31"/>
      <c r="AG21" s="95">
        <v>10</v>
      </c>
      <c r="AH21" s="31" t="s">
        <v>673</v>
      </c>
    </row>
    <row r="22" spans="1:34" hidden="1" x14ac:dyDescent="0.25">
      <c r="A22" s="11">
        <v>21</v>
      </c>
      <c r="B22" s="54"/>
      <c r="C22" s="33" t="s">
        <v>125</v>
      </c>
      <c r="D22" s="33" t="s">
        <v>904</v>
      </c>
      <c r="E22" s="31" t="s">
        <v>148</v>
      </c>
      <c r="F22" s="31" t="s">
        <v>70</v>
      </c>
      <c r="G22" s="31" t="s">
        <v>55</v>
      </c>
      <c r="H22" s="31">
        <v>60</v>
      </c>
      <c r="I22" s="31" t="s">
        <v>756</v>
      </c>
      <c r="J22" s="31" t="s">
        <v>242</v>
      </c>
      <c r="K22" s="31"/>
      <c r="L22" s="31"/>
      <c r="M22" s="66">
        <v>43496</v>
      </c>
      <c r="N22" s="67">
        <v>90</v>
      </c>
      <c r="O22" s="31" t="s">
        <v>156</v>
      </c>
      <c r="P22" s="68">
        <v>55832</v>
      </c>
      <c r="Q22" s="68">
        <v>17372</v>
      </c>
      <c r="R22" s="68">
        <f t="shared" si="0"/>
        <v>73204</v>
      </c>
      <c r="S22" s="31">
        <f t="shared" si="1"/>
        <v>34</v>
      </c>
      <c r="T22" s="31">
        <f t="shared" si="2"/>
        <v>26</v>
      </c>
      <c r="U22" s="31">
        <f t="shared" si="3"/>
        <v>75</v>
      </c>
      <c r="V22" s="31">
        <f t="shared" si="4"/>
        <v>14</v>
      </c>
      <c r="W22" s="31">
        <v>11.4</v>
      </c>
      <c r="X22" s="31">
        <f t="shared" si="5"/>
        <v>45.1</v>
      </c>
      <c r="Y22" s="31">
        <f t="shared" si="6"/>
        <v>70.5</v>
      </c>
      <c r="Z22" s="31"/>
      <c r="AA22" s="69">
        <v>15086</v>
      </c>
      <c r="AB22" s="69">
        <v>2849</v>
      </c>
      <c r="AC22" s="71">
        <v>77</v>
      </c>
      <c r="AD22" s="69">
        <v>3037</v>
      </c>
      <c r="AE22" s="31">
        <v>0</v>
      </c>
      <c r="AF22" s="31" t="s">
        <v>661</v>
      </c>
      <c r="AG22" s="95">
        <v>6</v>
      </c>
      <c r="AH22" s="31" t="s">
        <v>908</v>
      </c>
    </row>
    <row r="23" spans="1:34" x14ac:dyDescent="0.25">
      <c r="A23" s="11">
        <v>22</v>
      </c>
      <c r="B23" s="54"/>
      <c r="C23" s="38" t="s">
        <v>110</v>
      </c>
      <c r="D23" s="38" t="s">
        <v>900</v>
      </c>
      <c r="E23" s="2" t="s">
        <v>132</v>
      </c>
      <c r="F23" s="2" t="s">
        <v>60</v>
      </c>
      <c r="G23" s="2" t="s">
        <v>55</v>
      </c>
      <c r="H23" s="2">
        <v>70</v>
      </c>
      <c r="I23" s="2" t="s">
        <v>756</v>
      </c>
      <c r="J23" s="2" t="s">
        <v>725</v>
      </c>
      <c r="K23" s="2"/>
      <c r="L23" s="2"/>
      <c r="M23" s="15">
        <v>43814</v>
      </c>
      <c r="N23" s="24">
        <v>80</v>
      </c>
      <c r="O23" s="2" t="s">
        <v>156</v>
      </c>
      <c r="P23" s="3">
        <v>28345</v>
      </c>
      <c r="Q23" s="3">
        <v>14029</v>
      </c>
      <c r="R23" s="3">
        <f t="shared" si="0"/>
        <v>42374</v>
      </c>
      <c r="S23" s="2">
        <f t="shared" si="1"/>
        <v>35</v>
      </c>
      <c r="T23" s="2">
        <f t="shared" si="2"/>
        <v>259</v>
      </c>
      <c r="U23" s="2">
        <f t="shared" si="3"/>
        <v>125</v>
      </c>
      <c r="V23" s="11">
        <f t="shared" si="4"/>
        <v>0</v>
      </c>
      <c r="W23" s="2">
        <v>58.3</v>
      </c>
      <c r="X23" s="2">
        <f t="shared" si="5"/>
        <v>19.399999999999999</v>
      </c>
      <c r="Y23" s="2">
        <f t="shared" si="6"/>
        <v>58</v>
      </c>
      <c r="Z23" s="2"/>
      <c r="AA23" s="41">
        <v>25268</v>
      </c>
      <c r="AB23" s="41">
        <v>2198</v>
      </c>
      <c r="AC23" s="40">
        <v>49</v>
      </c>
      <c r="AD23" s="41">
        <v>1673</v>
      </c>
      <c r="AE23" s="2">
        <v>3</v>
      </c>
      <c r="AF23" s="2" t="s">
        <v>202</v>
      </c>
      <c r="AG23" s="97">
        <v>17</v>
      </c>
      <c r="AH23" s="2"/>
    </row>
    <row r="24" spans="1:34" hidden="1" x14ac:dyDescent="0.25">
      <c r="A24" s="11">
        <v>23</v>
      </c>
      <c r="B24" s="55"/>
      <c r="C24" s="37" t="s">
        <v>27</v>
      </c>
      <c r="D24" s="37" t="s">
        <v>906</v>
      </c>
      <c r="E24" s="28" t="s">
        <v>91</v>
      </c>
      <c r="F24" s="28" t="s">
        <v>73</v>
      </c>
      <c r="G24" s="28" t="s">
        <v>55</v>
      </c>
      <c r="H24" s="28">
        <v>60</v>
      </c>
      <c r="I24" s="28" t="s">
        <v>756</v>
      </c>
      <c r="J24" s="28"/>
      <c r="K24" s="28"/>
      <c r="L24" s="59">
        <v>43469</v>
      </c>
      <c r="M24" s="59">
        <v>43560</v>
      </c>
      <c r="N24" s="60">
        <v>90</v>
      </c>
      <c r="O24" s="28" t="s">
        <v>156</v>
      </c>
      <c r="P24" s="61">
        <v>59245</v>
      </c>
      <c r="Q24" s="61">
        <v>18557</v>
      </c>
      <c r="R24" s="61">
        <f t="shared" si="0"/>
        <v>77802</v>
      </c>
      <c r="S24" s="28">
        <f t="shared" si="1"/>
        <v>36</v>
      </c>
      <c r="T24" s="28">
        <f t="shared" si="2"/>
        <v>9</v>
      </c>
      <c r="U24" s="28">
        <f t="shared" si="3"/>
        <v>75</v>
      </c>
      <c r="V24" s="28">
        <f t="shared" si="4"/>
        <v>31</v>
      </c>
      <c r="W24" s="28">
        <v>8.4</v>
      </c>
      <c r="X24" s="28">
        <f t="shared" si="5"/>
        <v>50.69</v>
      </c>
      <c r="Y24" s="28">
        <f t="shared" si="6"/>
        <v>77.5</v>
      </c>
      <c r="Z24" s="28"/>
      <c r="AA24" s="62">
        <v>13924</v>
      </c>
      <c r="AB24" s="62">
        <v>3676</v>
      </c>
      <c r="AC24" s="64">
        <v>76</v>
      </c>
      <c r="AD24" s="62">
        <v>2509</v>
      </c>
      <c r="AE24" s="28">
        <v>0</v>
      </c>
      <c r="AF24" s="28"/>
      <c r="AG24" s="98">
        <v>6</v>
      </c>
      <c r="AH24" s="28" t="s">
        <v>831</v>
      </c>
    </row>
    <row r="25" spans="1:34" hidden="1" x14ac:dyDescent="0.25">
      <c r="A25" s="11">
        <v>24</v>
      </c>
      <c r="B25" s="55"/>
      <c r="C25" s="37" t="s">
        <v>18</v>
      </c>
      <c r="D25" s="37" t="s">
        <v>906</v>
      </c>
      <c r="E25" s="28" t="s">
        <v>72</v>
      </c>
      <c r="F25" s="28" t="s">
        <v>73</v>
      </c>
      <c r="G25" s="28" t="s">
        <v>55</v>
      </c>
      <c r="H25" s="28">
        <v>60</v>
      </c>
      <c r="I25" s="28" t="s">
        <v>756</v>
      </c>
      <c r="J25" s="28" t="s">
        <v>248</v>
      </c>
      <c r="K25" s="28"/>
      <c r="L25" s="28"/>
      <c r="M25" s="65" t="s">
        <v>279</v>
      </c>
      <c r="N25" s="60">
        <v>90</v>
      </c>
      <c r="O25" s="28" t="s">
        <v>156</v>
      </c>
      <c r="P25" s="61">
        <v>54559</v>
      </c>
      <c r="Q25" s="61">
        <v>19284</v>
      </c>
      <c r="R25" s="61">
        <f t="shared" si="0"/>
        <v>73843</v>
      </c>
      <c r="S25" s="28">
        <f t="shared" si="1"/>
        <v>37</v>
      </c>
      <c r="T25" s="28">
        <f t="shared" si="2"/>
        <v>34</v>
      </c>
      <c r="U25" s="28">
        <f t="shared" si="3"/>
        <v>125</v>
      </c>
      <c r="V25" s="28">
        <f t="shared" si="4"/>
        <v>33</v>
      </c>
      <c r="W25" s="28">
        <v>13</v>
      </c>
      <c r="X25" s="28">
        <f t="shared" si="5"/>
        <v>38.67</v>
      </c>
      <c r="Y25" s="28">
        <f t="shared" si="6"/>
        <v>76.599999999999994</v>
      </c>
      <c r="Z25" s="28"/>
      <c r="AA25" s="62">
        <v>18924</v>
      </c>
      <c r="AB25" s="62">
        <v>3566</v>
      </c>
      <c r="AC25" s="64">
        <v>78</v>
      </c>
      <c r="AD25" s="62">
        <v>4525</v>
      </c>
      <c r="AE25" s="28">
        <v>0</v>
      </c>
      <c r="AF25" s="28"/>
      <c r="AG25" s="98">
        <v>7</v>
      </c>
      <c r="AH25" s="28"/>
    </row>
    <row r="26" spans="1:34" x14ac:dyDescent="0.25">
      <c r="A26" s="11">
        <v>25</v>
      </c>
      <c r="B26" s="54"/>
      <c r="C26" s="2" t="s">
        <v>407</v>
      </c>
      <c r="D26" s="2" t="s">
        <v>905</v>
      </c>
      <c r="E26" s="2" t="s">
        <v>128</v>
      </c>
      <c r="F26" s="2" t="s">
        <v>94</v>
      </c>
      <c r="G26" s="2" t="s">
        <v>55</v>
      </c>
      <c r="H26" s="2">
        <v>60</v>
      </c>
      <c r="I26" s="2" t="s">
        <v>756</v>
      </c>
      <c r="J26" s="2" t="s">
        <v>253</v>
      </c>
      <c r="K26" s="2"/>
      <c r="L26" s="2"/>
      <c r="M26" s="15">
        <v>43480</v>
      </c>
      <c r="N26" s="24">
        <v>80</v>
      </c>
      <c r="O26" s="2" t="s">
        <v>156</v>
      </c>
      <c r="P26" s="3">
        <v>29084</v>
      </c>
      <c r="Q26" s="3">
        <v>20822</v>
      </c>
      <c r="R26" s="3">
        <f t="shared" si="0"/>
        <v>49906</v>
      </c>
      <c r="S26" s="2">
        <f t="shared" si="1"/>
        <v>38</v>
      </c>
      <c r="T26" s="2">
        <f t="shared" si="2"/>
        <v>100</v>
      </c>
      <c r="U26" s="2">
        <f t="shared" si="3"/>
        <v>125</v>
      </c>
      <c r="V26" s="11">
        <f t="shared" si="4"/>
        <v>2</v>
      </c>
      <c r="W26" s="2">
        <v>38</v>
      </c>
      <c r="X26" s="2">
        <f t="shared" si="5"/>
        <v>34.909999999999997</v>
      </c>
      <c r="Y26" s="2">
        <f t="shared" si="6"/>
        <v>61.7</v>
      </c>
      <c r="Z26" s="2"/>
      <c r="AA26" s="41">
        <v>35430</v>
      </c>
      <c r="AB26" s="41">
        <v>7236</v>
      </c>
      <c r="AC26" s="40">
        <v>23</v>
      </c>
      <c r="AD26" s="41">
        <v>2999</v>
      </c>
      <c r="AE26" s="2">
        <v>0</v>
      </c>
      <c r="AF26" s="2" t="s">
        <v>311</v>
      </c>
      <c r="AG26" s="97">
        <v>20</v>
      </c>
      <c r="AH26" s="2"/>
    </row>
    <row r="27" spans="1:34" hidden="1" x14ac:dyDescent="0.25">
      <c r="A27" s="11">
        <v>26</v>
      </c>
      <c r="B27" s="54"/>
      <c r="C27" s="37" t="s">
        <v>108</v>
      </c>
      <c r="D27" s="37" t="s">
        <v>906</v>
      </c>
      <c r="E27" s="28" t="s">
        <v>847</v>
      </c>
      <c r="F27" s="28" t="s">
        <v>136</v>
      </c>
      <c r="G27" s="28" t="s">
        <v>55</v>
      </c>
      <c r="H27" s="28">
        <v>60</v>
      </c>
      <c r="I27" s="28" t="s">
        <v>756</v>
      </c>
      <c r="J27" s="28" t="s">
        <v>751</v>
      </c>
      <c r="K27" s="28"/>
      <c r="L27" s="28"/>
      <c r="M27" s="59">
        <v>43539</v>
      </c>
      <c r="N27" s="60">
        <v>105</v>
      </c>
      <c r="O27" s="28" t="s">
        <v>156</v>
      </c>
      <c r="P27" s="61">
        <v>33699</v>
      </c>
      <c r="Q27" s="61">
        <v>21245</v>
      </c>
      <c r="R27" s="61">
        <f t="shared" si="0"/>
        <v>54944</v>
      </c>
      <c r="S27" s="28">
        <f t="shared" si="1"/>
        <v>39</v>
      </c>
      <c r="T27" s="28">
        <f t="shared" si="2"/>
        <v>56</v>
      </c>
      <c r="U27" s="28">
        <f t="shared" si="3"/>
        <v>125</v>
      </c>
      <c r="V27" s="28">
        <f t="shared" si="4"/>
        <v>2</v>
      </c>
      <c r="W27" s="28">
        <v>9.5</v>
      </c>
      <c r="X27" s="28">
        <f t="shared" si="5"/>
        <v>38.29</v>
      </c>
      <c r="Y27" s="28">
        <f t="shared" si="6"/>
        <v>66.7</v>
      </c>
      <c r="Z27" s="28"/>
      <c r="AA27" s="62">
        <v>9564</v>
      </c>
      <c r="AB27" s="62">
        <v>1880</v>
      </c>
      <c r="AC27" s="64">
        <v>51</v>
      </c>
      <c r="AD27" s="62">
        <v>1314</v>
      </c>
      <c r="AE27" s="28">
        <v>0</v>
      </c>
      <c r="AF27" s="28"/>
      <c r="AG27" s="98">
        <v>7</v>
      </c>
      <c r="AH27" s="28"/>
    </row>
    <row r="28" spans="1:34" x14ac:dyDescent="0.25">
      <c r="A28" s="11">
        <v>27</v>
      </c>
      <c r="B28" s="54"/>
      <c r="C28" s="38" t="s">
        <v>382</v>
      </c>
      <c r="D28" s="38" t="s">
        <v>900</v>
      </c>
      <c r="E28" s="2" t="s">
        <v>65</v>
      </c>
      <c r="F28" s="2" t="s">
        <v>57</v>
      </c>
      <c r="G28" s="2" t="s">
        <v>55</v>
      </c>
      <c r="H28" s="2">
        <v>60</v>
      </c>
      <c r="I28" s="2" t="s">
        <v>756</v>
      </c>
      <c r="J28" s="2" t="s">
        <v>250</v>
      </c>
      <c r="K28" s="2"/>
      <c r="L28" s="2"/>
      <c r="M28" s="15">
        <v>43449</v>
      </c>
      <c r="N28" s="24">
        <v>80</v>
      </c>
      <c r="O28" s="2" t="s">
        <v>156</v>
      </c>
      <c r="P28" s="3">
        <v>37022</v>
      </c>
      <c r="Q28" s="3">
        <v>11178</v>
      </c>
      <c r="R28" s="3">
        <f t="shared" si="0"/>
        <v>48200</v>
      </c>
      <c r="S28" s="2">
        <f t="shared" si="1"/>
        <v>41</v>
      </c>
      <c r="T28" s="2">
        <f t="shared" si="2"/>
        <v>95</v>
      </c>
      <c r="U28" s="2">
        <f t="shared" si="3"/>
        <v>75</v>
      </c>
      <c r="V28" s="11">
        <f t="shared" si="4"/>
        <v>23</v>
      </c>
      <c r="W28" s="2">
        <v>51.3</v>
      </c>
      <c r="X28" s="2">
        <f t="shared" si="5"/>
        <v>48.03</v>
      </c>
      <c r="Y28" s="2">
        <f t="shared" si="6"/>
        <v>69.2</v>
      </c>
      <c r="Z28" s="2"/>
      <c r="AA28" s="41">
        <v>45218</v>
      </c>
      <c r="AB28" s="41">
        <v>7003</v>
      </c>
      <c r="AC28" s="40">
        <v>34</v>
      </c>
      <c r="AD28" s="41">
        <v>3456</v>
      </c>
      <c r="AE28" s="2">
        <v>1</v>
      </c>
      <c r="AF28" s="2"/>
      <c r="AG28" s="97">
        <v>16</v>
      </c>
      <c r="AH28" s="2"/>
    </row>
    <row r="29" spans="1:34" x14ac:dyDescent="0.25">
      <c r="A29" s="11">
        <v>28</v>
      </c>
      <c r="B29" s="54"/>
      <c r="C29" s="107" t="s">
        <v>389</v>
      </c>
      <c r="D29" s="107" t="s">
        <v>901</v>
      </c>
      <c r="E29" s="2" t="s">
        <v>839</v>
      </c>
      <c r="F29" s="2" t="s">
        <v>142</v>
      </c>
      <c r="G29" s="2" t="s">
        <v>55</v>
      </c>
      <c r="H29" s="2">
        <v>60</v>
      </c>
      <c r="I29" s="2" t="s">
        <v>756</v>
      </c>
      <c r="J29" s="2" t="s">
        <v>250</v>
      </c>
      <c r="K29" s="2"/>
      <c r="M29" s="15">
        <v>43497</v>
      </c>
      <c r="N29" s="27">
        <v>83</v>
      </c>
      <c r="O29" s="2" t="s">
        <v>156</v>
      </c>
      <c r="P29" s="3">
        <v>31950</v>
      </c>
      <c r="Q29" s="100">
        <f>R29-P29</f>
        <v>15214</v>
      </c>
      <c r="R29" s="3">
        <v>47164</v>
      </c>
      <c r="S29" s="11">
        <f t="shared" si="1"/>
        <v>42</v>
      </c>
      <c r="T29" s="11">
        <f t="shared" si="2"/>
        <v>283</v>
      </c>
      <c r="U29" s="11">
        <f t="shared" si="3"/>
        <v>175</v>
      </c>
      <c r="V29" s="11">
        <f t="shared" si="4"/>
        <v>18</v>
      </c>
      <c r="W29" s="2">
        <v>58</v>
      </c>
      <c r="X29" s="2">
        <f t="shared" si="5"/>
        <v>19.78</v>
      </c>
      <c r="Y29" s="2">
        <f t="shared" si="6"/>
        <v>55</v>
      </c>
      <c r="Z29" s="2"/>
      <c r="AA29" s="87">
        <v>44655</v>
      </c>
      <c r="AB29" s="87">
        <v>5261</v>
      </c>
      <c r="AC29" s="91">
        <v>40</v>
      </c>
      <c r="AD29" s="87">
        <v>4113</v>
      </c>
      <c r="AE29" s="2">
        <v>0</v>
      </c>
      <c r="AF29" s="2"/>
      <c r="AG29" s="13">
        <v>13</v>
      </c>
      <c r="AH29" s="2"/>
    </row>
    <row r="30" spans="1:34" x14ac:dyDescent="0.25">
      <c r="A30" s="11">
        <v>29</v>
      </c>
      <c r="B30" s="54"/>
      <c r="C30" s="107" t="s">
        <v>397</v>
      </c>
      <c r="D30" s="107" t="s">
        <v>901</v>
      </c>
      <c r="E30" s="2" t="s">
        <v>129</v>
      </c>
      <c r="F30" s="2" t="s">
        <v>70</v>
      </c>
      <c r="G30" s="2" t="s">
        <v>55</v>
      </c>
      <c r="H30" s="2">
        <v>70</v>
      </c>
      <c r="I30" s="2" t="s">
        <v>756</v>
      </c>
      <c r="J30" s="2" t="s">
        <v>242</v>
      </c>
      <c r="K30" s="2">
        <v>1</v>
      </c>
      <c r="L30" s="15" t="s">
        <v>741</v>
      </c>
      <c r="M30" s="21">
        <v>43536</v>
      </c>
      <c r="N30" s="2">
        <v>90</v>
      </c>
      <c r="O30" s="2" t="s">
        <v>156</v>
      </c>
      <c r="P30" s="3">
        <v>35273</v>
      </c>
      <c r="Q30" s="3">
        <v>15306</v>
      </c>
      <c r="R30" s="3">
        <f>P30+Q30</f>
        <v>50579</v>
      </c>
      <c r="S30" s="2">
        <f t="shared" si="1"/>
        <v>44</v>
      </c>
      <c r="T30" s="2">
        <f t="shared" si="2"/>
        <v>83</v>
      </c>
      <c r="U30" s="2">
        <f t="shared" si="3"/>
        <v>125</v>
      </c>
      <c r="V30" s="11">
        <f t="shared" si="4"/>
        <v>9</v>
      </c>
      <c r="W30" s="2">
        <v>30.5</v>
      </c>
      <c r="X30" s="2">
        <f t="shared" si="5"/>
        <v>50.89</v>
      </c>
      <c r="Y30" s="2">
        <f t="shared" si="6"/>
        <v>61.3</v>
      </c>
      <c r="Z30" s="2"/>
      <c r="AA30" s="41">
        <v>26211</v>
      </c>
      <c r="AB30" s="41">
        <v>1980</v>
      </c>
      <c r="AC30" s="40">
        <v>54</v>
      </c>
      <c r="AD30" s="41">
        <v>4733</v>
      </c>
      <c r="AE30" s="2">
        <v>0</v>
      </c>
      <c r="AF30" s="2" t="s">
        <v>739</v>
      </c>
      <c r="AG30" s="97">
        <v>13</v>
      </c>
      <c r="AH30" s="2"/>
    </row>
    <row r="31" spans="1:34" hidden="1" x14ac:dyDescent="0.25">
      <c r="A31" s="11">
        <v>30</v>
      </c>
      <c r="B31" s="54"/>
      <c r="C31" s="38" t="s">
        <v>420</v>
      </c>
      <c r="D31" s="38" t="s">
        <v>900</v>
      </c>
      <c r="E31" s="2" t="s">
        <v>91</v>
      </c>
      <c r="F31" s="2" t="s">
        <v>73</v>
      </c>
      <c r="G31" s="2" t="s">
        <v>55</v>
      </c>
      <c r="H31" s="2">
        <v>70</v>
      </c>
      <c r="I31" s="2" t="s">
        <v>757</v>
      </c>
      <c r="J31" s="2" t="s">
        <v>249</v>
      </c>
      <c r="K31" s="2">
        <v>1</v>
      </c>
      <c r="L31" s="15">
        <v>43480</v>
      </c>
      <c r="M31" s="15">
        <v>43497</v>
      </c>
      <c r="N31" s="24">
        <v>80</v>
      </c>
      <c r="O31" s="2" t="s">
        <v>156</v>
      </c>
      <c r="P31" s="3">
        <v>28524</v>
      </c>
      <c r="Q31" s="3">
        <v>16169</v>
      </c>
      <c r="R31" s="3">
        <f>P31+Q31</f>
        <v>44693</v>
      </c>
      <c r="S31" s="2">
        <f t="shared" si="1"/>
        <v>45</v>
      </c>
      <c r="T31" s="2">
        <f t="shared" si="2"/>
        <v>214</v>
      </c>
      <c r="U31" s="2">
        <f t="shared" si="3"/>
        <v>175</v>
      </c>
      <c r="V31" s="11">
        <f t="shared" si="4"/>
        <v>31</v>
      </c>
      <c r="W31" s="2">
        <v>76.599999999999994</v>
      </c>
      <c r="X31" s="2">
        <f t="shared" si="5"/>
        <v>32.03</v>
      </c>
      <c r="Y31" s="2">
        <f t="shared" si="6"/>
        <v>61.8</v>
      </c>
      <c r="Z31" s="2"/>
      <c r="AA31" s="41">
        <v>25921</v>
      </c>
      <c r="AB31" s="41">
        <v>2856</v>
      </c>
      <c r="AC31" s="40">
        <v>84</v>
      </c>
      <c r="AD31" s="41">
        <v>2598</v>
      </c>
      <c r="AE31" s="2">
        <v>1</v>
      </c>
      <c r="AF31" s="2" t="s">
        <v>313</v>
      </c>
      <c r="AG31" s="97">
        <v>11</v>
      </c>
      <c r="AH31" s="2"/>
    </row>
    <row r="32" spans="1:34" hidden="1" x14ac:dyDescent="0.25">
      <c r="A32" s="11">
        <v>31</v>
      </c>
      <c r="B32" s="54"/>
      <c r="C32" s="33" t="s">
        <v>400</v>
      </c>
      <c r="D32" s="33" t="s">
        <v>904</v>
      </c>
      <c r="E32" s="2" t="s">
        <v>90</v>
      </c>
      <c r="F32" s="2" t="s">
        <v>94</v>
      </c>
      <c r="G32" s="2" t="s">
        <v>55</v>
      </c>
      <c r="H32" s="2">
        <v>70</v>
      </c>
      <c r="I32" s="2" t="s">
        <v>757</v>
      </c>
      <c r="J32" s="2" t="s">
        <v>253</v>
      </c>
      <c r="K32" s="2"/>
      <c r="L32" s="2"/>
      <c r="M32" s="15">
        <v>43449</v>
      </c>
      <c r="N32" s="24">
        <v>80</v>
      </c>
      <c r="O32" s="2" t="s">
        <v>156</v>
      </c>
      <c r="P32" s="3">
        <v>28995</v>
      </c>
      <c r="Q32" s="3">
        <v>21403</v>
      </c>
      <c r="R32" s="3">
        <f>P32+Q32</f>
        <v>50398</v>
      </c>
      <c r="S32" s="2">
        <f t="shared" si="1"/>
        <v>46</v>
      </c>
      <c r="T32" s="2">
        <f t="shared" si="2"/>
        <v>132</v>
      </c>
      <c r="U32" s="2">
        <f t="shared" si="3"/>
        <v>175</v>
      </c>
      <c r="V32" s="11">
        <f t="shared" si="4"/>
        <v>1</v>
      </c>
      <c r="W32" s="2">
        <v>32.6</v>
      </c>
      <c r="X32" s="2">
        <f t="shared" si="5"/>
        <v>37.43</v>
      </c>
      <c r="Y32" s="2">
        <f t="shared" si="6"/>
        <v>49.5</v>
      </c>
      <c r="Z32" s="2"/>
      <c r="AA32" s="41">
        <v>23983</v>
      </c>
      <c r="AB32" s="41">
        <v>2492</v>
      </c>
      <c r="AC32" s="40">
        <v>28</v>
      </c>
      <c r="AD32" s="41">
        <v>1472</v>
      </c>
      <c r="AE32" s="2">
        <v>1</v>
      </c>
      <c r="AF32" s="2"/>
      <c r="AG32" s="97">
        <v>17</v>
      </c>
      <c r="AH32" s="2" t="s">
        <v>899</v>
      </c>
    </row>
    <row r="33" spans="1:34" hidden="1" x14ac:dyDescent="0.25">
      <c r="A33" s="11">
        <v>32</v>
      </c>
      <c r="B33" s="54"/>
      <c r="C33" s="107" t="s">
        <v>351</v>
      </c>
      <c r="D33" s="107" t="s">
        <v>901</v>
      </c>
      <c r="E33" s="2" t="s">
        <v>141</v>
      </c>
      <c r="F33" s="2" t="s">
        <v>60</v>
      </c>
      <c r="G33" s="2" t="s">
        <v>55</v>
      </c>
      <c r="H33" s="2">
        <v>70</v>
      </c>
      <c r="I33" s="2" t="s">
        <v>757</v>
      </c>
      <c r="J33" s="2" t="s">
        <v>870</v>
      </c>
      <c r="K33" s="2">
        <v>1</v>
      </c>
      <c r="L33" s="15">
        <v>43539</v>
      </c>
      <c r="M33" s="15">
        <v>43586</v>
      </c>
      <c r="N33" s="105">
        <v>90</v>
      </c>
      <c r="O33" s="2" t="s">
        <v>156</v>
      </c>
      <c r="P33" s="102">
        <v>30800</v>
      </c>
      <c r="Q33" s="103">
        <v>17630</v>
      </c>
      <c r="R33" s="3">
        <f>P33+Q33</f>
        <v>48430</v>
      </c>
      <c r="S33" s="11">
        <f t="shared" si="1"/>
        <v>47</v>
      </c>
      <c r="T33" s="11">
        <f t="shared" si="2"/>
        <v>326</v>
      </c>
      <c r="U33" s="11">
        <f t="shared" si="3"/>
        <v>225</v>
      </c>
      <c r="V33" s="11">
        <f t="shared" si="4"/>
        <v>57</v>
      </c>
      <c r="W33" s="2"/>
      <c r="X33" s="2">
        <f t="shared" si="5"/>
        <v>15.55</v>
      </c>
      <c r="Y33" s="2">
        <f t="shared" si="6"/>
        <v>63.8</v>
      </c>
      <c r="Z33" s="2"/>
      <c r="AA33" s="12">
        <v>20849</v>
      </c>
      <c r="AB33" s="12">
        <v>7475</v>
      </c>
      <c r="AC33" s="2">
        <v>59</v>
      </c>
      <c r="AD33" s="12">
        <v>1653</v>
      </c>
      <c r="AE33" s="2">
        <v>1</v>
      </c>
      <c r="AF33" s="2"/>
      <c r="AG33" s="13"/>
      <c r="AH33" s="2"/>
    </row>
    <row r="34" spans="1:34" s="84" customFormat="1" hidden="1" x14ac:dyDescent="0.25">
      <c r="A34" s="11">
        <v>33</v>
      </c>
      <c r="B34" s="54"/>
      <c r="C34" s="37" t="s">
        <v>388</v>
      </c>
      <c r="D34" s="37" t="s">
        <v>906</v>
      </c>
      <c r="E34" s="2" t="s">
        <v>76</v>
      </c>
      <c r="F34" s="2" t="s">
        <v>75</v>
      </c>
      <c r="G34" s="2" t="s">
        <v>55</v>
      </c>
      <c r="H34" s="2">
        <v>60</v>
      </c>
      <c r="I34" s="2" t="s">
        <v>757</v>
      </c>
      <c r="J34" s="2" t="s">
        <v>249</v>
      </c>
      <c r="K34" s="2"/>
      <c r="L34" s="2"/>
      <c r="M34" s="15">
        <v>43800</v>
      </c>
      <c r="N34" s="24">
        <v>92</v>
      </c>
      <c r="O34" s="2" t="s">
        <v>156</v>
      </c>
      <c r="P34" s="3">
        <v>33866</v>
      </c>
      <c r="Q34" s="3">
        <v>18695</v>
      </c>
      <c r="R34" s="3">
        <f>P34+Q34</f>
        <v>52561</v>
      </c>
      <c r="S34" s="2">
        <f t="shared" si="1"/>
        <v>48</v>
      </c>
      <c r="T34" s="2">
        <f t="shared" si="2"/>
        <v>89</v>
      </c>
      <c r="U34" s="2">
        <f t="shared" si="3"/>
        <v>175</v>
      </c>
      <c r="V34" s="11">
        <f t="shared" si="4"/>
        <v>7</v>
      </c>
      <c r="W34" s="2">
        <v>49.4</v>
      </c>
      <c r="X34" s="2">
        <f t="shared" si="5"/>
        <v>43.54</v>
      </c>
      <c r="Y34" s="2">
        <f t="shared" si="6"/>
        <v>65.099999999999994</v>
      </c>
      <c r="Z34" s="2"/>
      <c r="AA34" s="41">
        <v>43603</v>
      </c>
      <c r="AB34" s="41">
        <v>6841</v>
      </c>
      <c r="AC34" s="40">
        <v>36</v>
      </c>
      <c r="AD34" s="41">
        <v>6023</v>
      </c>
      <c r="AE34" s="2">
        <v>3</v>
      </c>
      <c r="AF34" s="2"/>
      <c r="AG34" s="97">
        <v>8</v>
      </c>
      <c r="AH34" s="2"/>
    </row>
    <row r="35" spans="1:34" hidden="1" x14ac:dyDescent="0.25">
      <c r="A35" s="11">
        <v>34</v>
      </c>
      <c r="B35" s="54"/>
      <c r="C35" s="2" t="s">
        <v>357</v>
      </c>
      <c r="D35" s="2" t="s">
        <v>905</v>
      </c>
      <c r="E35" s="31" t="s">
        <v>58</v>
      </c>
      <c r="F35" s="31" t="s">
        <v>57</v>
      </c>
      <c r="G35" s="31" t="s">
        <v>55</v>
      </c>
      <c r="H35" s="31">
        <v>60</v>
      </c>
      <c r="I35" s="31" t="s">
        <v>757</v>
      </c>
      <c r="J35" s="31"/>
      <c r="K35" s="31"/>
      <c r="L35" s="31"/>
      <c r="M35" s="66">
        <v>43480</v>
      </c>
      <c r="N35" s="78">
        <v>90</v>
      </c>
      <c r="O35" s="31"/>
      <c r="P35" s="68">
        <v>40732</v>
      </c>
      <c r="Q35" s="68">
        <v>24133</v>
      </c>
      <c r="R35" s="68">
        <f>SUM(P35:Q35)</f>
        <v>64865</v>
      </c>
      <c r="S35" s="31">
        <f t="shared" si="1"/>
        <v>49</v>
      </c>
      <c r="T35" s="31">
        <f t="shared" si="2"/>
        <v>136</v>
      </c>
      <c r="U35" s="31">
        <f t="shared" si="3"/>
        <v>175</v>
      </c>
      <c r="V35" s="31">
        <f t="shared" si="4"/>
        <v>10</v>
      </c>
      <c r="W35" s="31"/>
      <c r="X35" s="71">
        <f t="shared" si="5"/>
        <v>46.08</v>
      </c>
      <c r="Y35" s="71">
        <f t="shared" si="6"/>
        <v>57.5</v>
      </c>
      <c r="Z35" s="31"/>
      <c r="AA35" s="82">
        <v>26534</v>
      </c>
      <c r="AB35" s="82">
        <v>2899</v>
      </c>
      <c r="AC35" s="31">
        <v>76</v>
      </c>
      <c r="AD35" s="82">
        <v>5087</v>
      </c>
      <c r="AE35" s="31">
        <v>0</v>
      </c>
      <c r="AF35" s="31"/>
      <c r="AG35" s="104"/>
      <c r="AH35" s="31"/>
    </row>
    <row r="36" spans="1:34" hidden="1" x14ac:dyDescent="0.25">
      <c r="A36" s="11">
        <v>35</v>
      </c>
      <c r="B36" s="54"/>
      <c r="C36" s="37" t="s">
        <v>113</v>
      </c>
      <c r="D36" s="37" t="s">
        <v>906</v>
      </c>
      <c r="E36" s="71" t="s">
        <v>139</v>
      </c>
      <c r="F36" s="71" t="s">
        <v>82</v>
      </c>
      <c r="G36" s="71" t="s">
        <v>55</v>
      </c>
      <c r="H36" s="71">
        <v>50</v>
      </c>
      <c r="I36" s="31" t="s">
        <v>757</v>
      </c>
      <c r="J36" s="71" t="s">
        <v>245</v>
      </c>
      <c r="K36" s="71"/>
      <c r="L36" s="71"/>
      <c r="M36" s="86">
        <v>43495</v>
      </c>
      <c r="N36" s="78">
        <v>90</v>
      </c>
      <c r="O36" s="71" t="s">
        <v>156</v>
      </c>
      <c r="P36" s="79">
        <v>40635</v>
      </c>
      <c r="Q36" s="79">
        <v>16919</v>
      </c>
      <c r="R36" s="79">
        <f>P36+Q36</f>
        <v>57554</v>
      </c>
      <c r="S36" s="71">
        <f t="shared" si="1"/>
        <v>50</v>
      </c>
      <c r="T36" s="71">
        <f t="shared" si="2"/>
        <v>87</v>
      </c>
      <c r="U36" s="71">
        <f t="shared" si="3"/>
        <v>175</v>
      </c>
      <c r="V36" s="31">
        <f t="shared" si="4"/>
        <v>12</v>
      </c>
      <c r="W36" s="71">
        <v>16</v>
      </c>
      <c r="X36" s="71">
        <f t="shared" si="5"/>
        <v>50.22</v>
      </c>
      <c r="Y36" s="71">
        <f t="shared" si="6"/>
        <v>58</v>
      </c>
      <c r="Z36" s="71"/>
      <c r="AA36" s="69">
        <v>6752</v>
      </c>
      <c r="AB36" s="69">
        <v>1854</v>
      </c>
      <c r="AC36" s="71">
        <v>67</v>
      </c>
      <c r="AD36" s="80">
        <v>976</v>
      </c>
      <c r="AE36" s="31">
        <v>0</v>
      </c>
      <c r="AF36" s="71"/>
      <c r="AG36" s="99">
        <v>6</v>
      </c>
      <c r="AH36" s="71" t="s">
        <v>829</v>
      </c>
    </row>
    <row r="37" spans="1:34" hidden="1" x14ac:dyDescent="0.25">
      <c r="A37" s="11">
        <v>36</v>
      </c>
      <c r="B37" s="54"/>
      <c r="C37" s="38" t="s">
        <v>225</v>
      </c>
      <c r="D37" s="38" t="s">
        <v>900</v>
      </c>
      <c r="E37" s="2" t="s">
        <v>848</v>
      </c>
      <c r="F37" s="2" t="s">
        <v>54</v>
      </c>
      <c r="G37" s="2" t="s">
        <v>55</v>
      </c>
      <c r="H37" s="2">
        <v>70</v>
      </c>
      <c r="I37" s="2" t="s">
        <v>757</v>
      </c>
      <c r="J37" s="2" t="s">
        <v>242</v>
      </c>
      <c r="K37" s="2"/>
      <c r="L37" s="53" t="s">
        <v>273</v>
      </c>
      <c r="M37" s="53"/>
      <c r="N37" s="105">
        <v>90</v>
      </c>
      <c r="O37" s="2" t="s">
        <v>156</v>
      </c>
      <c r="P37" s="3">
        <v>25046</v>
      </c>
      <c r="Q37" s="3">
        <v>21800</v>
      </c>
      <c r="R37" s="3">
        <f>P37+Q37</f>
        <v>46846</v>
      </c>
      <c r="S37" s="2">
        <f t="shared" si="1"/>
        <v>52</v>
      </c>
      <c r="T37" s="2">
        <f t="shared" si="2"/>
        <v>212</v>
      </c>
      <c r="U37" s="2">
        <f t="shared" si="3"/>
        <v>175</v>
      </c>
      <c r="V37" s="11">
        <f t="shared" si="4"/>
        <v>13</v>
      </c>
      <c r="W37" s="2">
        <v>82.9</v>
      </c>
      <c r="X37" s="2">
        <f t="shared" si="5"/>
        <v>45.07</v>
      </c>
      <c r="Y37" s="2">
        <f t="shared" si="6"/>
        <v>65.599999999999994</v>
      </c>
      <c r="Z37" s="2"/>
      <c r="AA37" s="41">
        <v>47503</v>
      </c>
      <c r="AB37" s="41">
        <v>9722</v>
      </c>
      <c r="AC37" s="40">
        <v>35</v>
      </c>
      <c r="AD37" s="41">
        <v>2578</v>
      </c>
      <c r="AE37" s="2">
        <v>13</v>
      </c>
      <c r="AF37" s="2" t="s">
        <v>241</v>
      </c>
      <c r="AG37" s="97">
        <v>23</v>
      </c>
      <c r="AH37" s="2"/>
    </row>
    <row r="38" spans="1:34" hidden="1" x14ac:dyDescent="0.25">
      <c r="A38" s="11">
        <v>37</v>
      </c>
      <c r="B38" s="54"/>
      <c r="C38" s="107" t="s">
        <v>377</v>
      </c>
      <c r="D38" s="107" t="s">
        <v>901</v>
      </c>
      <c r="E38" s="2" t="s">
        <v>206</v>
      </c>
      <c r="F38" s="2" t="s">
        <v>205</v>
      </c>
      <c r="G38" s="2" t="s">
        <v>55</v>
      </c>
      <c r="H38" s="2">
        <v>20</v>
      </c>
      <c r="I38" s="2" t="s">
        <v>757</v>
      </c>
      <c r="J38" s="2" t="s">
        <v>336</v>
      </c>
      <c r="K38" s="11"/>
      <c r="L38" s="2"/>
      <c r="M38" s="15">
        <v>43525</v>
      </c>
      <c r="N38" s="24">
        <v>79</v>
      </c>
      <c r="O38" s="11" t="s">
        <v>156</v>
      </c>
      <c r="P38" s="3">
        <v>27530</v>
      </c>
      <c r="Q38" s="3">
        <f>R38-P38</f>
        <v>18290</v>
      </c>
      <c r="R38" s="3">
        <v>45820</v>
      </c>
      <c r="S38" s="2">
        <f t="shared" si="1"/>
        <v>53</v>
      </c>
      <c r="T38" s="2">
        <f t="shared" si="2"/>
        <v>156</v>
      </c>
      <c r="U38" s="2">
        <f t="shared" si="3"/>
        <v>175</v>
      </c>
      <c r="V38" s="11">
        <f t="shared" si="4"/>
        <v>14</v>
      </c>
      <c r="W38" s="2">
        <v>44.6</v>
      </c>
      <c r="X38" s="2">
        <f t="shared" si="5"/>
        <v>50.5</v>
      </c>
      <c r="Y38" s="2">
        <f t="shared" si="6"/>
        <v>58.1</v>
      </c>
      <c r="Z38" s="12">
        <v>110616</v>
      </c>
      <c r="AA38" s="41">
        <v>56758</v>
      </c>
      <c r="AB38" s="39">
        <v>6002</v>
      </c>
      <c r="AC38" s="40">
        <v>43</v>
      </c>
      <c r="AD38" s="39">
        <v>4930</v>
      </c>
      <c r="AE38" s="2">
        <v>2</v>
      </c>
      <c r="AF38" s="2" t="s">
        <v>660</v>
      </c>
      <c r="AG38" s="97">
        <v>17</v>
      </c>
      <c r="AH38" s="2" t="s">
        <v>672</v>
      </c>
    </row>
    <row r="39" spans="1:34" hidden="1" x14ac:dyDescent="0.25">
      <c r="A39" s="11">
        <v>38</v>
      </c>
      <c r="B39" s="54"/>
      <c r="C39" s="2" t="s">
        <v>383</v>
      </c>
      <c r="D39" s="2" t="s">
        <v>905</v>
      </c>
      <c r="E39" s="2" t="s">
        <v>837</v>
      </c>
      <c r="F39" s="2" t="s">
        <v>836</v>
      </c>
      <c r="G39" s="2" t="s">
        <v>55</v>
      </c>
      <c r="H39" s="2">
        <v>60</v>
      </c>
      <c r="I39" s="2" t="s">
        <v>757</v>
      </c>
      <c r="J39" s="2" t="s">
        <v>725</v>
      </c>
      <c r="K39" s="2"/>
      <c r="L39" s="2"/>
      <c r="M39" s="15">
        <v>43449</v>
      </c>
      <c r="N39" s="105">
        <v>90</v>
      </c>
      <c r="O39" s="2" t="s">
        <v>156</v>
      </c>
      <c r="P39" s="3">
        <v>36700</v>
      </c>
      <c r="Q39" s="3">
        <v>15000</v>
      </c>
      <c r="R39" s="3">
        <f>SUM(P39:Q39)</f>
        <v>51700</v>
      </c>
      <c r="S39" s="11">
        <f t="shared" si="1"/>
        <v>54</v>
      </c>
      <c r="T39" s="11">
        <f t="shared" si="2"/>
        <v>190</v>
      </c>
      <c r="U39" s="90">
        <f t="shared" si="3"/>
        <v>225</v>
      </c>
      <c r="V39" s="11">
        <f t="shared" si="4"/>
        <v>19</v>
      </c>
      <c r="W39" s="2"/>
      <c r="X39" s="2">
        <f t="shared" si="5"/>
        <v>37.6</v>
      </c>
      <c r="Y39" s="2">
        <f t="shared" si="6"/>
        <v>59.4</v>
      </c>
      <c r="Z39" s="12">
        <v>90000</v>
      </c>
      <c r="AA39" s="12">
        <v>31372</v>
      </c>
      <c r="AB39" s="12">
        <v>2732</v>
      </c>
      <c r="AC39" s="2">
        <v>26</v>
      </c>
      <c r="AD39" s="12">
        <v>3829</v>
      </c>
      <c r="AE39" s="2">
        <v>3</v>
      </c>
      <c r="AF39" s="2" t="s">
        <v>873</v>
      </c>
      <c r="AG39" s="13"/>
      <c r="AH39" s="2"/>
    </row>
    <row r="40" spans="1:34" hidden="1" x14ac:dyDescent="0.25">
      <c r="A40" s="11">
        <v>39</v>
      </c>
      <c r="B40" s="54"/>
      <c r="C40" s="38" t="s">
        <v>20</v>
      </c>
      <c r="D40" s="38" t="s">
        <v>900</v>
      </c>
      <c r="E40" s="2" t="s">
        <v>83</v>
      </c>
      <c r="F40" s="2" t="s">
        <v>82</v>
      </c>
      <c r="G40" s="2" t="s">
        <v>55</v>
      </c>
      <c r="H40" s="2">
        <v>60</v>
      </c>
      <c r="I40" s="2" t="s">
        <v>757</v>
      </c>
      <c r="J40" s="2" t="s">
        <v>242</v>
      </c>
      <c r="K40" s="2"/>
      <c r="L40" s="2"/>
      <c r="M40" s="15">
        <v>43115</v>
      </c>
      <c r="N40" s="24">
        <v>100</v>
      </c>
      <c r="O40" s="2" t="s">
        <v>156</v>
      </c>
      <c r="P40" s="3">
        <v>20111</v>
      </c>
      <c r="Q40" s="3">
        <v>18359</v>
      </c>
      <c r="R40" s="3">
        <f>P40+Q40</f>
        <v>38470</v>
      </c>
      <c r="S40" s="2">
        <f t="shared" si="1"/>
        <v>55</v>
      </c>
      <c r="T40" s="2">
        <f t="shared" si="2"/>
        <v>203</v>
      </c>
      <c r="U40" s="2">
        <f t="shared" si="3"/>
        <v>175</v>
      </c>
      <c r="V40" s="11">
        <f t="shared" si="4"/>
        <v>0</v>
      </c>
      <c r="W40" s="2">
        <v>66.599999999999994</v>
      </c>
      <c r="X40" s="2">
        <f t="shared" si="5"/>
        <v>50.28</v>
      </c>
      <c r="Y40" s="2">
        <f t="shared" si="6"/>
        <v>65.5</v>
      </c>
      <c r="Z40" s="2"/>
      <c r="AA40" s="41">
        <v>59643</v>
      </c>
      <c r="AB40" s="41">
        <v>4920</v>
      </c>
      <c r="AC40" s="40">
        <v>88</v>
      </c>
      <c r="AD40" s="41">
        <v>3653</v>
      </c>
      <c r="AE40" s="2">
        <v>2</v>
      </c>
      <c r="AF40" s="2"/>
      <c r="AG40" s="97">
        <v>21</v>
      </c>
      <c r="AH40" s="2"/>
    </row>
    <row r="41" spans="1:34" hidden="1" x14ac:dyDescent="0.25">
      <c r="A41" s="11">
        <v>40</v>
      </c>
      <c r="B41" s="54"/>
      <c r="C41" s="36" t="s">
        <v>112</v>
      </c>
      <c r="D41" s="36" t="s">
        <v>902</v>
      </c>
      <c r="E41" s="2" t="s">
        <v>138</v>
      </c>
      <c r="F41" s="2" t="s">
        <v>135</v>
      </c>
      <c r="G41" s="2" t="s">
        <v>55</v>
      </c>
      <c r="H41" s="2">
        <v>40</v>
      </c>
      <c r="I41" s="2" t="s">
        <v>757</v>
      </c>
      <c r="J41" s="2" t="s">
        <v>250</v>
      </c>
      <c r="K41" s="2">
        <v>1</v>
      </c>
      <c r="L41" s="15">
        <v>43465</v>
      </c>
      <c r="M41" s="15">
        <v>43480</v>
      </c>
      <c r="N41" s="24">
        <v>80</v>
      </c>
      <c r="O41" s="2" t="s">
        <v>156</v>
      </c>
      <c r="P41" s="3">
        <v>35633</v>
      </c>
      <c r="Q41" s="3">
        <v>13766</v>
      </c>
      <c r="R41" s="3">
        <f>P41+Q41</f>
        <v>49399</v>
      </c>
      <c r="S41" s="2">
        <f t="shared" si="1"/>
        <v>56</v>
      </c>
      <c r="T41" s="2">
        <f t="shared" si="2"/>
        <v>141</v>
      </c>
      <c r="U41" s="2">
        <f t="shared" si="3"/>
        <v>175</v>
      </c>
      <c r="V41" s="11">
        <f t="shared" si="4"/>
        <v>1</v>
      </c>
      <c r="W41" s="2">
        <v>66.3</v>
      </c>
      <c r="X41" s="2">
        <f t="shared" si="5"/>
        <v>59.69</v>
      </c>
      <c r="Y41" s="2">
        <f t="shared" si="6"/>
        <v>65.5</v>
      </c>
      <c r="Z41" s="2"/>
      <c r="AA41" s="41">
        <v>44794</v>
      </c>
      <c r="AB41" s="41">
        <v>7190</v>
      </c>
      <c r="AC41" s="40">
        <v>30</v>
      </c>
      <c r="AD41" s="41">
        <v>2971</v>
      </c>
      <c r="AE41" s="2">
        <v>1</v>
      </c>
      <c r="AF41" s="2" t="s">
        <v>734</v>
      </c>
      <c r="AG41" s="97">
        <v>17</v>
      </c>
      <c r="AH41" s="2" t="s">
        <v>899</v>
      </c>
    </row>
    <row r="42" spans="1:34" hidden="1" x14ac:dyDescent="0.25">
      <c r="A42" s="11">
        <v>41</v>
      </c>
      <c r="B42" s="54"/>
      <c r="C42" s="108" t="s">
        <v>431</v>
      </c>
      <c r="D42" s="37" t="s">
        <v>906</v>
      </c>
      <c r="E42" s="31" t="s">
        <v>874</v>
      </c>
      <c r="F42" s="31" t="s">
        <v>835</v>
      </c>
      <c r="G42" s="31" t="s">
        <v>55</v>
      </c>
      <c r="H42" s="31">
        <v>70</v>
      </c>
      <c r="I42" s="31" t="s">
        <v>757</v>
      </c>
      <c r="J42" s="31" t="s">
        <v>751</v>
      </c>
      <c r="K42" s="31">
        <v>1</v>
      </c>
      <c r="L42" s="31"/>
      <c r="M42" s="66">
        <v>43525</v>
      </c>
      <c r="N42" s="78">
        <v>90</v>
      </c>
      <c r="O42" s="31" t="s">
        <v>156</v>
      </c>
      <c r="P42" s="68">
        <v>52400</v>
      </c>
      <c r="Q42" s="68">
        <f>R42-P42</f>
        <v>21961</v>
      </c>
      <c r="R42" s="82">
        <v>74361</v>
      </c>
      <c r="S42" s="31">
        <f t="shared" si="1"/>
        <v>59</v>
      </c>
      <c r="T42" s="31">
        <f t="shared" si="2"/>
        <v>100</v>
      </c>
      <c r="U42" s="71">
        <f t="shared" si="3"/>
        <v>275</v>
      </c>
      <c r="V42" s="31">
        <f t="shared" si="4"/>
        <v>15</v>
      </c>
      <c r="W42" s="31"/>
      <c r="X42" s="31">
        <f t="shared" si="5"/>
        <v>57.18</v>
      </c>
      <c r="Y42" s="31">
        <f t="shared" si="6"/>
        <v>54</v>
      </c>
      <c r="Z42" s="31"/>
      <c r="AA42" s="82">
        <v>13474</v>
      </c>
      <c r="AB42" s="82">
        <v>2706</v>
      </c>
      <c r="AC42" s="31">
        <v>80</v>
      </c>
      <c r="AD42" s="82">
        <v>2952</v>
      </c>
      <c r="AE42" s="31">
        <v>0</v>
      </c>
      <c r="AF42" s="31"/>
      <c r="AG42" s="104"/>
      <c r="AH42" s="31"/>
    </row>
    <row r="43" spans="1:34" hidden="1" x14ac:dyDescent="0.25">
      <c r="A43" s="11">
        <v>42</v>
      </c>
      <c r="B43" s="54"/>
      <c r="C43" s="36" t="s">
        <v>399</v>
      </c>
      <c r="D43" s="36" t="s">
        <v>902</v>
      </c>
      <c r="E43" s="31" t="s">
        <v>71</v>
      </c>
      <c r="F43" s="31" t="s">
        <v>70</v>
      </c>
      <c r="G43" s="31" t="s">
        <v>55</v>
      </c>
      <c r="H43" s="31">
        <v>50</v>
      </c>
      <c r="I43" s="31" t="s">
        <v>757</v>
      </c>
      <c r="J43" s="31" t="s">
        <v>245</v>
      </c>
      <c r="K43" s="31"/>
      <c r="L43" s="31"/>
      <c r="M43" s="66">
        <v>43449</v>
      </c>
      <c r="N43" s="67">
        <v>105</v>
      </c>
      <c r="O43" s="31" t="s">
        <v>156</v>
      </c>
      <c r="P43" s="68">
        <v>27982</v>
      </c>
      <c r="Q43" s="68">
        <v>18176</v>
      </c>
      <c r="R43" s="68">
        <f>P43+Q43</f>
        <v>46158</v>
      </c>
      <c r="S43" s="31">
        <f t="shared" si="1"/>
        <v>60</v>
      </c>
      <c r="T43" s="31">
        <f t="shared" si="2"/>
        <v>279</v>
      </c>
      <c r="U43" s="31">
        <f t="shared" si="3"/>
        <v>175</v>
      </c>
      <c r="V43" s="31">
        <f t="shared" si="4"/>
        <v>14</v>
      </c>
      <c r="W43" s="31">
        <v>50</v>
      </c>
      <c r="X43" s="31">
        <f t="shared" si="5"/>
        <v>71.39</v>
      </c>
      <c r="Y43" s="31">
        <f t="shared" si="6"/>
        <v>58.6</v>
      </c>
      <c r="Z43" s="31"/>
      <c r="AA43" s="69">
        <v>29420</v>
      </c>
      <c r="AB43" s="69">
        <v>4414</v>
      </c>
      <c r="AC43" s="71">
        <v>66</v>
      </c>
      <c r="AD43" s="69">
        <v>2534</v>
      </c>
      <c r="AE43" s="31">
        <v>10</v>
      </c>
      <c r="AF43" s="31"/>
      <c r="AG43" s="95">
        <v>13</v>
      </c>
      <c r="AH43" s="31" t="s">
        <v>896</v>
      </c>
    </row>
    <row r="44" spans="1:34" hidden="1" x14ac:dyDescent="0.25">
      <c r="A44" s="11">
        <v>43</v>
      </c>
      <c r="B44" s="54"/>
      <c r="C44" s="107" t="s">
        <v>384</v>
      </c>
      <c r="D44" s="107" t="s">
        <v>901</v>
      </c>
      <c r="E44" s="2" t="s">
        <v>849</v>
      </c>
      <c r="F44" s="2" t="s">
        <v>832</v>
      </c>
      <c r="G44" s="2" t="s">
        <v>55</v>
      </c>
      <c r="H44" s="2">
        <v>60</v>
      </c>
      <c r="I44" s="2" t="s">
        <v>757</v>
      </c>
      <c r="J44" s="2" t="s">
        <v>250</v>
      </c>
      <c r="K44" s="2"/>
      <c r="L44" s="2"/>
      <c r="M44" s="106">
        <v>43449</v>
      </c>
      <c r="N44" s="105">
        <v>90</v>
      </c>
      <c r="O44" s="2" t="s">
        <v>156</v>
      </c>
      <c r="P44" s="3">
        <v>30371</v>
      </c>
      <c r="Q44" s="3">
        <v>17075</v>
      </c>
      <c r="R44" s="3">
        <f>P44+Q44</f>
        <v>47446</v>
      </c>
      <c r="S44" s="11">
        <f t="shared" si="1"/>
        <v>61</v>
      </c>
      <c r="T44" s="11">
        <f t="shared" si="2"/>
        <v>345</v>
      </c>
      <c r="U44" s="11">
        <f t="shared" si="3"/>
        <v>325</v>
      </c>
      <c r="V44" s="11">
        <f t="shared" si="4"/>
        <v>7</v>
      </c>
      <c r="W44" s="2"/>
      <c r="X44" s="2">
        <f t="shared" si="5"/>
        <v>36.1</v>
      </c>
      <c r="Y44" s="2">
        <f t="shared" si="6"/>
        <v>46</v>
      </c>
      <c r="Z44" s="2"/>
      <c r="AA44" s="12">
        <v>25788</v>
      </c>
      <c r="AB44" s="12">
        <v>2090</v>
      </c>
      <c r="AC44" s="2">
        <v>54</v>
      </c>
      <c r="AD44" s="12">
        <v>3071</v>
      </c>
      <c r="AE44" s="2">
        <v>2</v>
      </c>
      <c r="AF44" s="2"/>
      <c r="AG44" s="13"/>
      <c r="AH44" s="2"/>
    </row>
    <row r="45" spans="1:34" hidden="1" x14ac:dyDescent="0.25">
      <c r="A45" s="11">
        <v>44</v>
      </c>
      <c r="B45" s="54"/>
      <c r="C45" s="33" t="s">
        <v>32</v>
      </c>
      <c r="D45" s="33" t="s">
        <v>904</v>
      </c>
      <c r="E45" s="2" t="s">
        <v>95</v>
      </c>
      <c r="F45" s="2" t="s">
        <v>92</v>
      </c>
      <c r="G45" s="2" t="s">
        <v>55</v>
      </c>
      <c r="H45" s="2">
        <v>60</v>
      </c>
      <c r="I45" s="2" t="s">
        <v>757</v>
      </c>
      <c r="J45" s="2" t="s">
        <v>895</v>
      </c>
      <c r="K45" s="2"/>
      <c r="L45" s="2"/>
      <c r="M45" s="15">
        <v>43497</v>
      </c>
      <c r="N45" s="24">
        <v>80</v>
      </c>
      <c r="O45" s="2" t="s">
        <v>156</v>
      </c>
      <c r="P45" s="3">
        <v>30130</v>
      </c>
      <c r="Q45" s="3">
        <v>13421</v>
      </c>
      <c r="R45" s="3">
        <f>P45+Q45</f>
        <v>43551</v>
      </c>
      <c r="S45" s="2">
        <f t="shared" si="1"/>
        <v>62</v>
      </c>
      <c r="T45" s="2">
        <f t="shared" si="2"/>
        <v>180</v>
      </c>
      <c r="U45" s="2">
        <f t="shared" si="3"/>
        <v>225</v>
      </c>
      <c r="V45" s="11">
        <f t="shared" si="4"/>
        <v>0</v>
      </c>
      <c r="W45" s="2">
        <v>38</v>
      </c>
      <c r="X45" s="2">
        <f t="shared" si="5"/>
        <v>71.569999999999993</v>
      </c>
      <c r="Y45" s="2">
        <f t="shared" si="6"/>
        <v>60.8</v>
      </c>
      <c r="Z45" s="2"/>
      <c r="AA45" s="41">
        <v>45456</v>
      </c>
      <c r="AB45" s="41">
        <v>4284</v>
      </c>
      <c r="AC45" s="40">
        <v>85</v>
      </c>
      <c r="AD45" s="41">
        <v>5658</v>
      </c>
      <c r="AE45" s="2">
        <v>10</v>
      </c>
      <c r="AF45" s="2"/>
      <c r="AG45" s="97">
        <v>20</v>
      </c>
      <c r="AH45" s="2" t="s">
        <v>896</v>
      </c>
    </row>
    <row r="46" spans="1:34" hidden="1" x14ac:dyDescent="0.25"/>
    <row r="47" spans="1:34" hidden="1" x14ac:dyDescent="0.25"/>
    <row r="48" spans="1:34" hidden="1" x14ac:dyDescent="0.25">
      <c r="C48" s="18"/>
      <c r="D48" s="18"/>
    </row>
    <row r="49" spans="3:4" hidden="1" x14ac:dyDescent="0.25">
      <c r="C49" s="18"/>
      <c r="D49" s="18"/>
    </row>
  </sheetData>
  <autoFilter ref="A1:AH49" xr:uid="{9FC9252B-91B4-44BA-9BBA-57F11D395F7B}">
    <filterColumn colId="3">
      <filters>
        <filter val="ND"/>
        <filter val="S1"/>
        <filter val="S2"/>
      </filters>
    </filterColumn>
    <filterColumn colId="8">
      <filters>
        <filter val="Moderate"/>
      </filters>
    </filterColumn>
  </autoFilter>
  <sortState ref="A2:AH49">
    <sortCondition ref="S2:S49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I2:I45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topLeftCell="A48" workbookViewId="0">
      <selection activeCell="N9" sqref="N9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133" t="s">
        <v>0</v>
      </c>
      <c r="B1" s="133" t="s">
        <v>1</v>
      </c>
      <c r="C1" s="137" t="s">
        <v>199</v>
      </c>
      <c r="D1" s="138"/>
      <c r="E1" s="138"/>
      <c r="F1" s="138"/>
      <c r="G1" s="138"/>
      <c r="H1" s="138"/>
      <c r="I1" s="138"/>
      <c r="J1" s="139"/>
      <c r="K1" s="133" t="s">
        <v>593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9" ht="60" x14ac:dyDescent="0.25">
      <c r="A2" s="133"/>
      <c r="B2" s="133"/>
      <c r="C2" s="1" t="s">
        <v>5</v>
      </c>
      <c r="D2" s="1" t="s">
        <v>31</v>
      </c>
      <c r="E2" s="1" t="s">
        <v>150</v>
      </c>
      <c r="F2" s="4" t="s">
        <v>203</v>
      </c>
      <c r="G2" s="4" t="s">
        <v>619</v>
      </c>
      <c r="H2" s="4" t="s">
        <v>620</v>
      </c>
      <c r="I2" s="4" t="s">
        <v>621</v>
      </c>
      <c r="J2" s="4" t="s">
        <v>622</v>
      </c>
      <c r="K2" s="1" t="s">
        <v>594</v>
      </c>
      <c r="L2" s="4" t="s">
        <v>595</v>
      </c>
      <c r="M2" s="4" t="s">
        <v>596</v>
      </c>
      <c r="N2" s="4" t="s">
        <v>597</v>
      </c>
      <c r="O2" s="4" t="s">
        <v>598</v>
      </c>
      <c r="P2" s="4" t="s">
        <v>599</v>
      </c>
      <c r="Q2" s="4" t="s">
        <v>600</v>
      </c>
      <c r="R2" s="4" t="s">
        <v>601</v>
      </c>
      <c r="S2" s="4" t="s">
        <v>602</v>
      </c>
      <c r="T2" s="4" t="s">
        <v>603</v>
      </c>
      <c r="U2" s="4" t="s">
        <v>604</v>
      </c>
      <c r="V2" s="4" t="s">
        <v>605</v>
      </c>
    </row>
    <row r="3" spans="1:29" x14ac:dyDescent="0.25">
      <c r="A3" s="13">
        <v>1</v>
      </c>
      <c r="B3" s="2" t="s">
        <v>225</v>
      </c>
      <c r="C3" s="2">
        <v>212</v>
      </c>
      <c r="D3" s="2">
        <v>175</v>
      </c>
      <c r="E3" s="2" t="s">
        <v>153</v>
      </c>
      <c r="F3" s="2">
        <f>IF(D3&lt;10,1,IF(D3&lt;20,2,IF(D3&lt;50,3,IF(D3&lt;100,4,IF(D3&lt;150,5,IF(D3&lt;200,6,IF(D3&lt;250,7,8)))))))</f>
        <v>6</v>
      </c>
      <c r="G3" s="35">
        <v>49.5</v>
      </c>
      <c r="H3" s="35">
        <v>65.599999999999994</v>
      </c>
      <c r="I3" s="35">
        <v>80</v>
      </c>
      <c r="J3" s="35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151</v>
      </c>
      <c r="F4" s="2">
        <f t="shared" ref="F4:F60" si="3">IF(D4&lt;10,1,IF(D4&lt;20,2,IF(D4&lt;50,3,IF(D4&lt;100,4,IF(D4&lt;150,5,IF(D4&lt;200,6,IF(D4&lt;250,7,8)))))))</f>
        <v>1</v>
      </c>
      <c r="G4" s="35">
        <v>100</v>
      </c>
      <c r="H4" s="35">
        <v>82.4</v>
      </c>
      <c r="I4" s="35">
        <v>94</v>
      </c>
      <c r="J4" s="35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606</v>
      </c>
    </row>
    <row r="5" spans="1:29" x14ac:dyDescent="0.25">
      <c r="A5" s="13">
        <v>3</v>
      </c>
      <c r="B5" s="2" t="s">
        <v>387</v>
      </c>
      <c r="C5" s="2">
        <v>16</v>
      </c>
      <c r="D5" s="2">
        <v>24</v>
      </c>
      <c r="E5" s="2" t="s">
        <v>151</v>
      </c>
      <c r="F5" s="2">
        <f t="shared" si="3"/>
        <v>3</v>
      </c>
      <c r="G5" s="35">
        <v>75.599999999999994</v>
      </c>
      <c r="H5" s="35">
        <v>81</v>
      </c>
      <c r="I5" s="35">
        <v>83.1</v>
      </c>
      <c r="J5" s="35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390</v>
      </c>
      <c r="C6" s="2">
        <v>7</v>
      </c>
      <c r="D6" s="2">
        <v>9</v>
      </c>
      <c r="E6" s="2" t="s">
        <v>151</v>
      </c>
      <c r="F6" s="2">
        <f t="shared" si="3"/>
        <v>1</v>
      </c>
      <c r="G6" s="35">
        <v>81</v>
      </c>
      <c r="H6" s="35">
        <v>81.3</v>
      </c>
      <c r="I6" s="35">
        <v>92</v>
      </c>
      <c r="J6" s="35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201</v>
      </c>
      <c r="C7" s="2">
        <v>69</v>
      </c>
      <c r="D7" s="2">
        <v>21</v>
      </c>
      <c r="E7" s="2" t="s">
        <v>151</v>
      </c>
      <c r="F7" s="2">
        <f t="shared" si="3"/>
        <v>3</v>
      </c>
      <c r="G7" s="35">
        <v>75.2</v>
      </c>
      <c r="H7" s="35">
        <v>79.3</v>
      </c>
      <c r="I7" s="35">
        <v>91.8</v>
      </c>
      <c r="J7" s="35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151</v>
      </c>
      <c r="F8" s="2">
        <f t="shared" si="3"/>
        <v>1</v>
      </c>
      <c r="G8" s="35">
        <v>80.400000000000006</v>
      </c>
      <c r="H8" s="35">
        <v>100</v>
      </c>
      <c r="I8" s="35">
        <v>80.599999999999994</v>
      </c>
      <c r="J8" s="35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151</v>
      </c>
      <c r="F9" s="2">
        <f t="shared" si="3"/>
        <v>3</v>
      </c>
      <c r="G9" s="35">
        <v>75</v>
      </c>
      <c r="H9" s="35">
        <v>76.099999999999994</v>
      </c>
      <c r="I9" s="35">
        <v>81.7</v>
      </c>
      <c r="J9" s="35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399</v>
      </c>
      <c r="C10" s="2">
        <v>279</v>
      </c>
      <c r="D10" s="2">
        <v>175</v>
      </c>
      <c r="E10" s="2" t="s">
        <v>153</v>
      </c>
      <c r="F10" s="2">
        <f t="shared" si="3"/>
        <v>6</v>
      </c>
      <c r="G10" s="35">
        <v>50.7</v>
      </c>
      <c r="H10" s="35">
        <v>58.6</v>
      </c>
      <c r="I10" s="35">
        <v>81.400000000000006</v>
      </c>
      <c r="J10" s="35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153</v>
      </c>
      <c r="F11" s="2">
        <f t="shared" si="3"/>
        <v>5</v>
      </c>
      <c r="G11" s="35">
        <v>49.6</v>
      </c>
      <c r="H11" s="35">
        <v>76.599999999999994</v>
      </c>
      <c r="I11" s="35">
        <v>71.8</v>
      </c>
      <c r="J11" s="35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388</v>
      </c>
      <c r="C12" s="2">
        <v>89</v>
      </c>
      <c r="D12" s="2">
        <v>175</v>
      </c>
      <c r="E12" s="2" t="s">
        <v>153</v>
      </c>
      <c r="F12" s="2">
        <f t="shared" si="3"/>
        <v>6</v>
      </c>
      <c r="G12" s="35">
        <v>49.8</v>
      </c>
      <c r="H12" s="35">
        <v>65.099999999999994</v>
      </c>
      <c r="I12" s="35">
        <v>79.7</v>
      </c>
      <c r="J12" s="35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418</v>
      </c>
      <c r="C13" s="2">
        <v>450</v>
      </c>
      <c r="D13" s="2"/>
      <c r="E13" s="2" t="s">
        <v>152</v>
      </c>
      <c r="F13" s="2">
        <f t="shared" si="3"/>
        <v>1</v>
      </c>
      <c r="G13" s="35"/>
      <c r="H13" s="35"/>
      <c r="I13" s="35"/>
      <c r="J13" s="35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382</v>
      </c>
      <c r="C14" s="2">
        <v>95</v>
      </c>
      <c r="D14" s="2">
        <v>75</v>
      </c>
      <c r="E14" s="2" t="s">
        <v>153</v>
      </c>
      <c r="F14" s="2">
        <f t="shared" si="3"/>
        <v>4</v>
      </c>
      <c r="G14" s="35">
        <v>58.2</v>
      </c>
      <c r="H14" s="35">
        <v>69.2</v>
      </c>
      <c r="I14" s="35">
        <v>85.8</v>
      </c>
      <c r="J14" s="35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153</v>
      </c>
      <c r="F15" s="2">
        <f t="shared" si="3"/>
        <v>4</v>
      </c>
      <c r="G15" s="35">
        <v>63.3</v>
      </c>
      <c r="H15" s="35">
        <v>74.900000000000006</v>
      </c>
      <c r="I15" s="35">
        <v>82</v>
      </c>
      <c r="J15" s="35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153</v>
      </c>
      <c r="F16" s="2">
        <f t="shared" si="3"/>
        <v>6</v>
      </c>
      <c r="G16" s="35">
        <v>50.2</v>
      </c>
      <c r="H16" s="35">
        <v>65.5</v>
      </c>
      <c r="I16" s="35">
        <v>79.400000000000006</v>
      </c>
      <c r="J16" s="35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153</v>
      </c>
      <c r="F17" s="2">
        <f t="shared" si="3"/>
        <v>4</v>
      </c>
      <c r="G17" s="35">
        <v>61.6</v>
      </c>
      <c r="H17" s="35">
        <v>72.3</v>
      </c>
      <c r="I17" s="35">
        <v>82.5</v>
      </c>
      <c r="J17" s="35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417</v>
      </c>
      <c r="C18" s="2">
        <v>47</v>
      </c>
      <c r="D18" s="2">
        <v>34</v>
      </c>
      <c r="E18" s="2" t="s">
        <v>151</v>
      </c>
      <c r="F18" s="2">
        <f t="shared" si="3"/>
        <v>3</v>
      </c>
      <c r="G18" s="35">
        <v>71.2</v>
      </c>
      <c r="H18" s="35">
        <v>79.3</v>
      </c>
      <c r="I18" s="35">
        <v>85.8</v>
      </c>
      <c r="J18" s="35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402</v>
      </c>
      <c r="C19" s="2">
        <v>169</v>
      </c>
      <c r="D19" s="2">
        <v>75</v>
      </c>
      <c r="E19" s="2" t="s">
        <v>153</v>
      </c>
      <c r="F19" s="2">
        <f t="shared" si="3"/>
        <v>4</v>
      </c>
      <c r="G19" s="35">
        <v>65.400000000000006</v>
      </c>
      <c r="H19" s="35">
        <v>61.1</v>
      </c>
      <c r="I19" s="35">
        <v>78.5</v>
      </c>
      <c r="J19" s="35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386</v>
      </c>
      <c r="C20" s="2">
        <v>384</v>
      </c>
      <c r="D20" s="2">
        <v>325</v>
      </c>
      <c r="E20" s="2" t="s">
        <v>153</v>
      </c>
      <c r="F20" s="2">
        <f t="shared" si="3"/>
        <v>8</v>
      </c>
      <c r="G20" s="35">
        <v>40.299999999999997</v>
      </c>
      <c r="H20" s="35">
        <v>53.9</v>
      </c>
      <c r="I20" s="35">
        <v>77.900000000000006</v>
      </c>
      <c r="J20" s="35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379</v>
      </c>
      <c r="C21" s="2">
        <v>41</v>
      </c>
      <c r="D21" s="2">
        <v>45</v>
      </c>
      <c r="E21" s="2" t="s">
        <v>151</v>
      </c>
      <c r="F21" s="2">
        <f t="shared" si="3"/>
        <v>3</v>
      </c>
      <c r="G21" s="35">
        <v>71.099999999999994</v>
      </c>
      <c r="H21" s="34">
        <v>66.8</v>
      </c>
      <c r="I21" s="35">
        <v>87.4</v>
      </c>
      <c r="J21" s="35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400</v>
      </c>
      <c r="C22" s="2">
        <v>132</v>
      </c>
      <c r="D22" s="2">
        <v>175</v>
      </c>
      <c r="E22" s="2" t="s">
        <v>153</v>
      </c>
      <c r="F22" s="2">
        <f t="shared" si="3"/>
        <v>6</v>
      </c>
      <c r="G22" s="35">
        <v>58.9</v>
      </c>
      <c r="H22" s="35">
        <v>49.5</v>
      </c>
      <c r="I22" s="35">
        <v>77.900000000000006</v>
      </c>
      <c r="J22" s="35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153</v>
      </c>
      <c r="F23" s="2">
        <f t="shared" si="3"/>
        <v>4</v>
      </c>
      <c r="G23" s="35">
        <v>67.7</v>
      </c>
      <c r="H23" s="35">
        <v>77.5</v>
      </c>
      <c r="I23" s="35">
        <v>67.599999999999994</v>
      </c>
      <c r="J23" s="35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153</v>
      </c>
      <c r="F24" s="2">
        <f t="shared" si="3"/>
        <v>7</v>
      </c>
      <c r="G24" s="35">
        <v>49.4</v>
      </c>
      <c r="H24" s="35">
        <v>60.8</v>
      </c>
      <c r="I24" s="35">
        <v>74.5</v>
      </c>
      <c r="J24" s="35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151</v>
      </c>
      <c r="F25" s="2">
        <f t="shared" si="3"/>
        <v>1</v>
      </c>
      <c r="G25" s="35">
        <v>90.5</v>
      </c>
      <c r="H25" s="35">
        <v>98.7</v>
      </c>
      <c r="I25" s="35">
        <v>95.4</v>
      </c>
      <c r="J25" s="35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151</v>
      </c>
      <c r="F26" s="2">
        <f t="shared" si="3"/>
        <v>1</v>
      </c>
      <c r="G26" s="35">
        <v>87.8</v>
      </c>
      <c r="H26" s="35">
        <v>96</v>
      </c>
      <c r="I26" s="35">
        <v>100</v>
      </c>
      <c r="J26" s="35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151</v>
      </c>
      <c r="F27" s="2">
        <f t="shared" si="3"/>
        <v>3</v>
      </c>
      <c r="G27" s="35">
        <v>78.900000000000006</v>
      </c>
      <c r="H27" s="35">
        <v>80.900000000000006</v>
      </c>
      <c r="I27" s="35">
        <v>78.8</v>
      </c>
      <c r="J27" s="35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151</v>
      </c>
      <c r="F28" s="2">
        <f t="shared" si="3"/>
        <v>1</v>
      </c>
      <c r="G28" s="35">
        <v>81</v>
      </c>
      <c r="H28" s="35">
        <v>97.3</v>
      </c>
      <c r="I28" s="35">
        <v>81.2</v>
      </c>
      <c r="J28" s="35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151</v>
      </c>
      <c r="F29" s="2">
        <f t="shared" si="3"/>
        <v>2</v>
      </c>
      <c r="G29" s="35">
        <v>78.2</v>
      </c>
      <c r="H29" s="35">
        <v>88.9</v>
      </c>
      <c r="I29" s="35">
        <v>81.7</v>
      </c>
      <c r="J29" s="35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151</v>
      </c>
      <c r="F30" s="2">
        <f t="shared" si="3"/>
        <v>2</v>
      </c>
      <c r="G30" s="35">
        <v>73.400000000000006</v>
      </c>
      <c r="H30" s="35">
        <v>85.1</v>
      </c>
      <c r="I30" s="34">
        <v>89.8</v>
      </c>
      <c r="J30" s="35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151</v>
      </c>
      <c r="F31" s="2">
        <f t="shared" si="3"/>
        <v>2</v>
      </c>
      <c r="G31" s="35">
        <v>77.400000000000006</v>
      </c>
      <c r="H31" s="35">
        <v>89.8</v>
      </c>
      <c r="I31" s="35">
        <v>85.1</v>
      </c>
      <c r="J31" s="35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404</v>
      </c>
      <c r="C32" s="2">
        <v>23</v>
      </c>
      <c r="D32" s="2">
        <v>22</v>
      </c>
      <c r="E32" s="2" t="s">
        <v>151</v>
      </c>
      <c r="F32" s="2">
        <f t="shared" si="3"/>
        <v>3</v>
      </c>
      <c r="G32" s="35">
        <v>77.8</v>
      </c>
      <c r="H32" s="35">
        <v>89.2</v>
      </c>
      <c r="I32" s="35">
        <v>77.900000000000006</v>
      </c>
      <c r="J32" s="35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373</v>
      </c>
      <c r="C33" s="2">
        <v>27</v>
      </c>
      <c r="D33" s="2">
        <v>4</v>
      </c>
      <c r="E33" s="2" t="s">
        <v>151</v>
      </c>
      <c r="F33" s="2">
        <f t="shared" si="3"/>
        <v>1</v>
      </c>
      <c r="G33" s="35">
        <v>85.7</v>
      </c>
      <c r="H33" s="35">
        <v>89</v>
      </c>
      <c r="I33" s="35">
        <v>93.3</v>
      </c>
      <c r="J33" s="35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151</v>
      </c>
      <c r="F34" s="2">
        <f t="shared" si="3"/>
        <v>2</v>
      </c>
      <c r="G34" s="35">
        <v>79.099999999999994</v>
      </c>
      <c r="H34" s="35">
        <v>78.400000000000006</v>
      </c>
      <c r="I34" s="35">
        <v>85.6</v>
      </c>
      <c r="J34" s="35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153</v>
      </c>
      <c r="F35" s="2">
        <f t="shared" si="3"/>
        <v>4</v>
      </c>
      <c r="G35" s="35">
        <v>63.3</v>
      </c>
      <c r="H35" s="35">
        <v>78.7</v>
      </c>
      <c r="I35" s="35">
        <v>64.099999999999994</v>
      </c>
      <c r="J35" s="35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153</v>
      </c>
      <c r="F36" s="2">
        <f t="shared" si="3"/>
        <v>4</v>
      </c>
      <c r="G36" s="35">
        <v>64</v>
      </c>
      <c r="H36" s="35">
        <v>80.7</v>
      </c>
      <c r="I36" s="35">
        <v>64.599999999999994</v>
      </c>
      <c r="J36" s="35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151</v>
      </c>
      <c r="F37" s="2">
        <f t="shared" si="3"/>
        <v>3</v>
      </c>
      <c r="G37" s="35">
        <v>73.8</v>
      </c>
      <c r="H37" s="35">
        <v>75.400000000000006</v>
      </c>
      <c r="I37" s="35">
        <v>80.599999999999994</v>
      </c>
      <c r="J37" s="35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79</v>
      </c>
      <c r="C38" s="2">
        <v>19</v>
      </c>
      <c r="D38" s="2">
        <v>37</v>
      </c>
      <c r="E38" s="2" t="s">
        <v>151</v>
      </c>
      <c r="F38" s="2">
        <f t="shared" si="3"/>
        <v>3</v>
      </c>
      <c r="G38" s="35">
        <v>72.599999999999994</v>
      </c>
      <c r="H38" s="35">
        <v>79</v>
      </c>
      <c r="I38" s="35">
        <v>79.400000000000006</v>
      </c>
      <c r="J38" s="35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380</v>
      </c>
      <c r="C39" s="2">
        <v>126</v>
      </c>
      <c r="D39" s="2">
        <v>75</v>
      </c>
      <c r="E39" s="2" t="s">
        <v>153</v>
      </c>
      <c r="F39" s="2">
        <f t="shared" si="3"/>
        <v>4</v>
      </c>
      <c r="G39" s="35">
        <v>74</v>
      </c>
      <c r="H39" s="35">
        <v>59.2</v>
      </c>
      <c r="I39" s="35">
        <v>85.6</v>
      </c>
      <c r="J39" s="35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375</v>
      </c>
      <c r="C40" s="2">
        <v>53</v>
      </c>
      <c r="D40" s="2">
        <v>75</v>
      </c>
      <c r="E40" s="2" t="s">
        <v>153</v>
      </c>
      <c r="F40" s="2">
        <f t="shared" si="3"/>
        <v>4</v>
      </c>
      <c r="G40" s="35">
        <v>58.8</v>
      </c>
      <c r="H40" s="35">
        <v>69.099999999999994</v>
      </c>
      <c r="I40" s="35">
        <v>86.8</v>
      </c>
      <c r="J40" s="35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108</v>
      </c>
      <c r="C41" s="2">
        <v>56</v>
      </c>
      <c r="D41" s="2">
        <v>125</v>
      </c>
      <c r="E41" s="2" t="s">
        <v>153</v>
      </c>
      <c r="F41" s="2">
        <f t="shared" si="3"/>
        <v>5</v>
      </c>
      <c r="G41" s="35">
        <v>58.3</v>
      </c>
      <c r="H41" s="35">
        <v>66.7</v>
      </c>
      <c r="I41" s="35">
        <v>71.8</v>
      </c>
      <c r="J41" s="35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407</v>
      </c>
      <c r="C42" s="2">
        <v>100</v>
      </c>
      <c r="D42" s="2">
        <v>125</v>
      </c>
      <c r="E42" s="2" t="s">
        <v>153</v>
      </c>
      <c r="F42" s="2">
        <f t="shared" si="3"/>
        <v>5</v>
      </c>
      <c r="G42" s="35">
        <v>56.7</v>
      </c>
      <c r="H42" s="35">
        <v>61.7</v>
      </c>
      <c r="I42" s="35">
        <v>77.599999999999994</v>
      </c>
      <c r="J42" s="35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110</v>
      </c>
      <c r="C43" s="2">
        <v>259</v>
      </c>
      <c r="D43" s="2">
        <v>125</v>
      </c>
      <c r="E43" s="2" t="s">
        <v>153</v>
      </c>
      <c r="F43" s="2">
        <f t="shared" si="3"/>
        <v>5</v>
      </c>
      <c r="G43" s="35">
        <v>63.5</v>
      </c>
      <c r="H43" s="34">
        <v>58</v>
      </c>
      <c r="I43" s="35">
        <v>77.900000000000006</v>
      </c>
      <c r="J43" s="35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397</v>
      </c>
      <c r="C44" s="2">
        <v>83</v>
      </c>
      <c r="D44" s="2">
        <v>125</v>
      </c>
      <c r="E44" s="2" t="s">
        <v>153</v>
      </c>
      <c r="F44" s="2">
        <f t="shared" si="3"/>
        <v>5</v>
      </c>
      <c r="G44" s="35">
        <v>65</v>
      </c>
      <c r="H44" s="35">
        <v>61.3</v>
      </c>
      <c r="I44" s="35">
        <v>71.8</v>
      </c>
      <c r="J44" s="35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112</v>
      </c>
      <c r="C45" s="2">
        <v>141</v>
      </c>
      <c r="D45" s="2">
        <v>175</v>
      </c>
      <c r="E45" s="2" t="s">
        <v>153</v>
      </c>
      <c r="F45" s="2">
        <f t="shared" si="3"/>
        <v>6</v>
      </c>
      <c r="G45" s="35">
        <v>53.3</v>
      </c>
      <c r="H45" s="35">
        <v>65.5</v>
      </c>
      <c r="I45" s="35">
        <v>73.400000000000006</v>
      </c>
      <c r="J45" s="35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113</v>
      </c>
      <c r="C46" s="2">
        <v>87</v>
      </c>
      <c r="D46" s="2">
        <v>175</v>
      </c>
      <c r="E46" s="2" t="s">
        <v>153</v>
      </c>
      <c r="F46" s="2">
        <f t="shared" si="3"/>
        <v>6</v>
      </c>
      <c r="G46" s="35">
        <v>57.7</v>
      </c>
      <c r="H46" s="35">
        <v>58</v>
      </c>
      <c r="I46" s="35">
        <v>73</v>
      </c>
      <c r="J46" s="35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420</v>
      </c>
      <c r="C47" s="2">
        <v>214</v>
      </c>
      <c r="D47" s="2">
        <v>175</v>
      </c>
      <c r="E47" s="2" t="s">
        <v>153</v>
      </c>
      <c r="F47" s="2">
        <f t="shared" si="3"/>
        <v>6</v>
      </c>
      <c r="G47" s="35">
        <v>55.5</v>
      </c>
      <c r="H47" s="35">
        <v>61.8</v>
      </c>
      <c r="I47" s="35">
        <v>71</v>
      </c>
      <c r="J47" s="35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115</v>
      </c>
      <c r="C48" s="2">
        <v>13</v>
      </c>
      <c r="D48" s="2">
        <v>8</v>
      </c>
      <c r="E48" s="2" t="s">
        <v>151</v>
      </c>
      <c r="F48" s="2">
        <f t="shared" si="3"/>
        <v>1</v>
      </c>
      <c r="G48" s="35">
        <v>81.8</v>
      </c>
      <c r="H48" s="35">
        <v>83.5</v>
      </c>
      <c r="I48" s="35">
        <v>90.6</v>
      </c>
      <c r="J48" s="35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378</v>
      </c>
      <c r="C49" s="2">
        <v>32</v>
      </c>
      <c r="D49" s="2">
        <v>13</v>
      </c>
      <c r="E49" s="2" t="s">
        <v>151</v>
      </c>
      <c r="F49" s="2">
        <f t="shared" si="3"/>
        <v>2</v>
      </c>
      <c r="G49" s="35">
        <v>77.3</v>
      </c>
      <c r="H49" s="35">
        <v>85.9</v>
      </c>
      <c r="I49" s="35">
        <v>84.6</v>
      </c>
      <c r="J49" s="35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117</v>
      </c>
      <c r="C50" s="2">
        <v>66</v>
      </c>
      <c r="D50" s="2">
        <v>18</v>
      </c>
      <c r="E50" s="2" t="s">
        <v>151</v>
      </c>
      <c r="F50" s="2">
        <f t="shared" si="3"/>
        <v>2</v>
      </c>
      <c r="G50" s="35">
        <v>79.3</v>
      </c>
      <c r="H50" s="35">
        <v>71.7</v>
      </c>
      <c r="I50" s="35">
        <v>90.2</v>
      </c>
      <c r="J50" s="35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118</v>
      </c>
      <c r="C51" s="2">
        <v>14</v>
      </c>
      <c r="D51" s="2">
        <v>25</v>
      </c>
      <c r="E51" s="2" t="s">
        <v>151</v>
      </c>
      <c r="F51" s="2">
        <f t="shared" si="3"/>
        <v>3</v>
      </c>
      <c r="G51" s="35">
        <v>76.5</v>
      </c>
      <c r="H51" s="35">
        <v>76.900000000000006</v>
      </c>
      <c r="I51" s="35">
        <v>85.3</v>
      </c>
      <c r="J51" s="35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119</v>
      </c>
      <c r="C52" s="2">
        <v>63</v>
      </c>
      <c r="D52" s="2">
        <v>27</v>
      </c>
      <c r="E52" s="2" t="s">
        <v>151</v>
      </c>
      <c r="F52" s="2">
        <f t="shared" si="3"/>
        <v>3</v>
      </c>
      <c r="G52" s="35">
        <v>93</v>
      </c>
      <c r="H52" s="35">
        <v>74.7</v>
      </c>
      <c r="I52" s="35">
        <v>100</v>
      </c>
      <c r="J52" s="35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120</v>
      </c>
      <c r="C53" s="2">
        <v>71</v>
      </c>
      <c r="D53" s="2">
        <v>28</v>
      </c>
      <c r="E53" s="2" t="s">
        <v>151</v>
      </c>
      <c r="F53" s="2">
        <f t="shared" si="3"/>
        <v>3</v>
      </c>
      <c r="G53" s="35">
        <v>75.3</v>
      </c>
      <c r="H53" s="35">
        <v>73.900000000000006</v>
      </c>
      <c r="I53" s="35">
        <v>90.6</v>
      </c>
      <c r="J53" s="35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121</v>
      </c>
      <c r="C54" s="2">
        <v>15</v>
      </c>
      <c r="D54" s="2">
        <v>39</v>
      </c>
      <c r="E54" s="2" t="s">
        <v>151</v>
      </c>
      <c r="F54" s="2">
        <f t="shared" si="3"/>
        <v>3</v>
      </c>
      <c r="G54" s="35">
        <v>72.3</v>
      </c>
      <c r="H54" s="35">
        <v>86.8</v>
      </c>
      <c r="I54" s="35">
        <v>69.400000000000006</v>
      </c>
      <c r="J54" s="35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122</v>
      </c>
      <c r="C55" s="2">
        <v>20</v>
      </c>
      <c r="D55" s="2">
        <v>45</v>
      </c>
      <c r="E55" s="2" t="s">
        <v>151</v>
      </c>
      <c r="F55" s="2">
        <f t="shared" si="3"/>
        <v>3</v>
      </c>
      <c r="G55" s="35">
        <v>63.4</v>
      </c>
      <c r="H55" s="35">
        <v>80</v>
      </c>
      <c r="I55" s="35">
        <v>86.8</v>
      </c>
      <c r="J55" s="35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123</v>
      </c>
      <c r="C56" s="2">
        <v>115</v>
      </c>
      <c r="D56" s="2">
        <v>47</v>
      </c>
      <c r="E56" s="2" t="s">
        <v>151</v>
      </c>
      <c r="F56" s="2">
        <f t="shared" si="3"/>
        <v>3</v>
      </c>
      <c r="G56" s="35">
        <v>69.8</v>
      </c>
      <c r="H56" s="35">
        <v>69.7</v>
      </c>
      <c r="I56" s="35">
        <v>88.5</v>
      </c>
      <c r="J56" s="35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124</v>
      </c>
      <c r="C57" s="2">
        <v>93</v>
      </c>
      <c r="D57" s="2">
        <v>75</v>
      </c>
      <c r="E57" s="2" t="s">
        <v>153</v>
      </c>
      <c r="F57" s="2">
        <f t="shared" si="3"/>
        <v>4</v>
      </c>
      <c r="G57" s="35">
        <v>60.5</v>
      </c>
      <c r="H57" s="35">
        <v>75.400000000000006</v>
      </c>
      <c r="I57" s="35">
        <v>69.8</v>
      </c>
      <c r="J57" s="35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125</v>
      </c>
      <c r="C58" s="2">
        <v>26</v>
      </c>
      <c r="D58" s="2">
        <v>75</v>
      </c>
      <c r="E58" s="2" t="s">
        <v>153</v>
      </c>
      <c r="F58" s="2">
        <f t="shared" si="3"/>
        <v>4</v>
      </c>
      <c r="G58" s="35">
        <v>63</v>
      </c>
      <c r="H58" s="35">
        <v>70.5</v>
      </c>
      <c r="I58" s="35">
        <v>76.900000000000006</v>
      </c>
      <c r="J58" s="35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126</v>
      </c>
      <c r="C59" s="2">
        <v>21</v>
      </c>
      <c r="D59" s="2">
        <v>75</v>
      </c>
      <c r="E59" s="2" t="s">
        <v>153</v>
      </c>
      <c r="F59" s="2">
        <f t="shared" si="3"/>
        <v>4</v>
      </c>
      <c r="G59" s="35">
        <v>65.3</v>
      </c>
      <c r="H59" s="35">
        <v>69.5</v>
      </c>
      <c r="I59" s="35">
        <v>73.400000000000006</v>
      </c>
      <c r="J59" s="35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377</v>
      </c>
      <c r="C60" s="11">
        <v>156</v>
      </c>
      <c r="D60" s="11">
        <v>175</v>
      </c>
      <c r="E60" s="11" t="s">
        <v>153</v>
      </c>
      <c r="F60" s="2">
        <f t="shared" si="3"/>
        <v>6</v>
      </c>
      <c r="G60" s="35">
        <v>52.2</v>
      </c>
      <c r="H60" s="35">
        <v>58.1</v>
      </c>
      <c r="I60" s="35">
        <v>81.400000000000006</v>
      </c>
      <c r="J60" s="35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8"/>
      <c r="L61" s="18"/>
    </row>
    <row r="62" spans="1:22" x14ac:dyDescent="0.25">
      <c r="K62" s="18"/>
      <c r="L62" s="18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184</v>
      </c>
      <c r="D1" s="4" t="s">
        <v>663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79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106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107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108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109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118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119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122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123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124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125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126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190</v>
      </c>
      <c r="E1" s="4" t="s">
        <v>178</v>
      </c>
      <c r="F1" s="4" t="s">
        <v>180</v>
      </c>
      <c r="G1" s="1" t="s">
        <v>166</v>
      </c>
      <c r="H1" s="1" t="s">
        <v>177</v>
      </c>
      <c r="I1" s="1" t="s">
        <v>38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182</v>
      </c>
      <c r="O1" s="1" t="s">
        <v>171</v>
      </c>
      <c r="P1" s="1" t="s">
        <v>183</v>
      </c>
      <c r="Q1" s="1" t="s">
        <v>173</v>
      </c>
      <c r="R1" s="1" t="s">
        <v>172</v>
      </c>
      <c r="S1" s="1" t="s">
        <v>174</v>
      </c>
      <c r="T1" s="1" t="s">
        <v>176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179</v>
      </c>
      <c r="F2" s="4" t="s">
        <v>181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175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163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162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164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79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106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107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108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109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110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111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112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113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114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115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116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117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118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119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120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121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122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123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124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125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126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6FDC-0722-4C8F-AFB8-041676F6E14B}">
  <dimension ref="A2:D46"/>
  <sheetViews>
    <sheetView workbookViewId="0">
      <selection activeCell="D46" sqref="D3:D46"/>
    </sheetView>
  </sheetViews>
  <sheetFormatPr defaultRowHeight="15" x14ac:dyDescent="0.25"/>
  <cols>
    <col min="1" max="1" width="16.85546875" bestFit="1" customWidth="1"/>
    <col min="3" max="3" width="39.140625" bestFit="1" customWidth="1"/>
    <col min="4" max="4" width="10.42578125" customWidth="1"/>
  </cols>
  <sheetData>
    <row r="2" spans="1:4" ht="45" x14ac:dyDescent="0.25">
      <c r="A2" s="1" t="s">
        <v>755</v>
      </c>
      <c r="C2" s="44" t="s">
        <v>363</v>
      </c>
      <c r="D2" s="50" t="s">
        <v>897</v>
      </c>
    </row>
    <row r="3" spans="1:4" x14ac:dyDescent="0.25">
      <c r="A3" s="2" t="s">
        <v>754</v>
      </c>
      <c r="C3" s="11" t="s">
        <v>7</v>
      </c>
    </row>
    <row r="4" spans="1:4" x14ac:dyDescent="0.25">
      <c r="A4" s="2" t="s">
        <v>756</v>
      </c>
      <c r="C4" s="11" t="s">
        <v>373</v>
      </c>
    </row>
    <row r="5" spans="1:4" x14ac:dyDescent="0.25">
      <c r="A5" s="2" t="s">
        <v>757</v>
      </c>
      <c r="C5" s="11" t="s">
        <v>118</v>
      </c>
    </row>
    <row r="6" spans="1:4" x14ac:dyDescent="0.25">
      <c r="C6" s="11" t="s">
        <v>122</v>
      </c>
    </row>
    <row r="7" spans="1:4" x14ac:dyDescent="0.25">
      <c r="C7" s="11" t="s">
        <v>201</v>
      </c>
    </row>
    <row r="8" spans="1:4" x14ac:dyDescent="0.25">
      <c r="C8" s="11" t="s">
        <v>120</v>
      </c>
    </row>
    <row r="9" spans="1:4" x14ac:dyDescent="0.25">
      <c r="C9" s="11" t="s">
        <v>387</v>
      </c>
    </row>
    <row r="10" spans="1:4" x14ac:dyDescent="0.25">
      <c r="C10" s="11" t="s">
        <v>378</v>
      </c>
    </row>
    <row r="11" spans="1:4" x14ac:dyDescent="0.25">
      <c r="C11" s="11" t="s">
        <v>79</v>
      </c>
    </row>
    <row r="12" spans="1:4" x14ac:dyDescent="0.25">
      <c r="C12" s="11" t="s">
        <v>119</v>
      </c>
    </row>
    <row r="13" spans="1:4" x14ac:dyDescent="0.25">
      <c r="C13" s="11" t="s">
        <v>379</v>
      </c>
    </row>
    <row r="14" spans="1:4" x14ac:dyDescent="0.25">
      <c r="C14" s="11" t="s">
        <v>123</v>
      </c>
    </row>
    <row r="15" spans="1:4" x14ac:dyDescent="0.25">
      <c r="C15" s="11" t="s">
        <v>380</v>
      </c>
    </row>
    <row r="16" spans="1:4" x14ac:dyDescent="0.25">
      <c r="C16" s="11" t="s">
        <v>11</v>
      </c>
    </row>
    <row r="17" spans="3:3" x14ac:dyDescent="0.25">
      <c r="C17" s="11" t="s">
        <v>375</v>
      </c>
    </row>
    <row r="18" spans="3:3" x14ac:dyDescent="0.25">
      <c r="C18" s="11" t="s">
        <v>16</v>
      </c>
    </row>
    <row r="19" spans="3:3" x14ac:dyDescent="0.25">
      <c r="C19" s="11" t="s">
        <v>126</v>
      </c>
    </row>
    <row r="20" spans="3:3" x14ac:dyDescent="0.25">
      <c r="C20" s="11" t="s">
        <v>121</v>
      </c>
    </row>
    <row r="21" spans="3:3" x14ac:dyDescent="0.25">
      <c r="C21" s="11" t="s">
        <v>402</v>
      </c>
    </row>
    <row r="22" spans="3:3" x14ac:dyDescent="0.25">
      <c r="C22" s="11" t="s">
        <v>124</v>
      </c>
    </row>
    <row r="23" spans="3:3" x14ac:dyDescent="0.25">
      <c r="C23" s="11" t="s">
        <v>125</v>
      </c>
    </row>
    <row r="24" spans="3:3" x14ac:dyDescent="0.25">
      <c r="C24" s="11" t="s">
        <v>110</v>
      </c>
    </row>
    <row r="25" spans="3:3" x14ac:dyDescent="0.25">
      <c r="C25" s="11" t="s">
        <v>27</v>
      </c>
    </row>
    <row r="26" spans="3:3" x14ac:dyDescent="0.25">
      <c r="C26" s="11" t="s">
        <v>18</v>
      </c>
    </row>
    <row r="27" spans="3:3" x14ac:dyDescent="0.25">
      <c r="C27" s="11" t="s">
        <v>407</v>
      </c>
    </row>
    <row r="28" spans="3:3" x14ac:dyDescent="0.25">
      <c r="C28" s="11" t="s">
        <v>108</v>
      </c>
    </row>
    <row r="29" spans="3:3" x14ac:dyDescent="0.25">
      <c r="C29" s="11" t="s">
        <v>382</v>
      </c>
    </row>
    <row r="30" spans="3:3" x14ac:dyDescent="0.25">
      <c r="C30" s="11" t="s">
        <v>389</v>
      </c>
    </row>
    <row r="31" spans="3:3" x14ac:dyDescent="0.25">
      <c r="C31" s="11" t="s">
        <v>397</v>
      </c>
    </row>
    <row r="32" spans="3:3" x14ac:dyDescent="0.25">
      <c r="C32" s="11" t="s">
        <v>420</v>
      </c>
    </row>
    <row r="33" spans="3:3" x14ac:dyDescent="0.25">
      <c r="C33" s="11" t="s">
        <v>400</v>
      </c>
    </row>
    <row r="34" spans="3:3" x14ac:dyDescent="0.25">
      <c r="C34" s="11" t="s">
        <v>351</v>
      </c>
    </row>
    <row r="35" spans="3:3" x14ac:dyDescent="0.25">
      <c r="C35" s="11" t="s">
        <v>388</v>
      </c>
    </row>
    <row r="36" spans="3:3" x14ac:dyDescent="0.25">
      <c r="C36" s="11" t="s">
        <v>357</v>
      </c>
    </row>
    <row r="37" spans="3:3" x14ac:dyDescent="0.25">
      <c r="C37" s="11" t="s">
        <v>113</v>
      </c>
    </row>
    <row r="38" spans="3:3" x14ac:dyDescent="0.25">
      <c r="C38" s="11" t="s">
        <v>225</v>
      </c>
    </row>
    <row r="39" spans="3:3" x14ac:dyDescent="0.25">
      <c r="C39" s="11" t="s">
        <v>377</v>
      </c>
    </row>
    <row r="40" spans="3:3" x14ac:dyDescent="0.25">
      <c r="C40" s="11" t="s">
        <v>383</v>
      </c>
    </row>
    <row r="41" spans="3:3" x14ac:dyDescent="0.25">
      <c r="C41" s="11" t="s">
        <v>20</v>
      </c>
    </row>
    <row r="42" spans="3:3" x14ac:dyDescent="0.25">
      <c r="C42" s="11" t="s">
        <v>112</v>
      </c>
    </row>
    <row r="43" spans="3:3" x14ac:dyDescent="0.25">
      <c r="C43" s="90" t="s">
        <v>431</v>
      </c>
    </row>
    <row r="44" spans="3:3" x14ac:dyDescent="0.25">
      <c r="C44" s="11" t="s">
        <v>399</v>
      </c>
    </row>
    <row r="45" spans="3:3" x14ac:dyDescent="0.25">
      <c r="C45" s="11" t="s">
        <v>384</v>
      </c>
    </row>
    <row r="46" spans="3:3" x14ac:dyDescent="0.25">
      <c r="C46" s="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AF13-EC1C-4611-AD53-0BD342D7CA0A}">
  <sheetPr filterMode="1"/>
  <dimension ref="A1:Q48"/>
  <sheetViews>
    <sheetView workbookViewId="0">
      <selection activeCell="J16" sqref="J16"/>
    </sheetView>
  </sheetViews>
  <sheetFormatPr defaultColWidth="10" defaultRowHeight="15" x14ac:dyDescent="0.25"/>
  <cols>
    <col min="1" max="1" width="5.7109375" bestFit="1" customWidth="1"/>
    <col min="2" max="2" width="39.140625" bestFit="1" customWidth="1"/>
    <col min="3" max="4" width="9.5703125" bestFit="1" customWidth="1"/>
    <col min="5" max="5" width="10.28515625" bestFit="1" customWidth="1"/>
    <col min="6" max="6" width="11.140625" bestFit="1" customWidth="1"/>
    <col min="7" max="7" width="11" hidden="1" customWidth="1"/>
    <col min="8" max="8" width="8.42578125" hidden="1" customWidth="1"/>
    <col min="9" max="9" width="8.7109375" bestFit="1" customWidth="1"/>
    <col min="10" max="10" width="10.85546875" bestFit="1" customWidth="1"/>
    <col min="11" max="13" width="9.5703125" bestFit="1" customWidth="1"/>
    <col min="14" max="15" width="9.85546875" bestFit="1" customWidth="1"/>
    <col min="16" max="16" width="8.85546875" bestFit="1" customWidth="1"/>
  </cols>
  <sheetData>
    <row r="1" spans="1:17" ht="45" x14ac:dyDescent="0.25">
      <c r="A1" s="4" t="s">
        <v>0</v>
      </c>
      <c r="B1" s="4" t="s">
        <v>363</v>
      </c>
      <c r="C1" s="4" t="s">
        <v>880</v>
      </c>
      <c r="D1" s="4" t="s">
        <v>881</v>
      </c>
      <c r="E1" s="4" t="s">
        <v>884</v>
      </c>
      <c r="F1" s="4" t="s">
        <v>41</v>
      </c>
      <c r="G1" s="4" t="s">
        <v>882</v>
      </c>
      <c r="H1" s="4" t="s">
        <v>883</v>
      </c>
      <c r="I1" s="4" t="s">
        <v>885</v>
      </c>
      <c r="J1" s="4" t="s">
        <v>886</v>
      </c>
      <c r="K1" s="4" t="s">
        <v>887</v>
      </c>
      <c r="L1" s="4" t="s">
        <v>888</v>
      </c>
      <c r="M1" s="4" t="s">
        <v>889</v>
      </c>
      <c r="N1" s="4" t="s">
        <v>890</v>
      </c>
      <c r="O1" s="4" t="s">
        <v>891</v>
      </c>
      <c r="P1" s="4" t="s">
        <v>892</v>
      </c>
      <c r="Q1" s="4" t="s">
        <v>893</v>
      </c>
    </row>
    <row r="2" spans="1:17" hidden="1" x14ac:dyDescent="0.25">
      <c r="A2" s="11">
        <v>40</v>
      </c>
      <c r="B2" s="36" t="s">
        <v>112</v>
      </c>
      <c r="C2" s="2">
        <v>680</v>
      </c>
      <c r="D2" s="2">
        <v>110</v>
      </c>
      <c r="E2" s="2">
        <v>1434</v>
      </c>
      <c r="F2" s="2">
        <v>9</v>
      </c>
      <c r="G2" s="12">
        <v>23100</v>
      </c>
      <c r="H2" s="12">
        <v>4900</v>
      </c>
      <c r="I2" s="2">
        <v>162</v>
      </c>
      <c r="J2" s="2">
        <v>791</v>
      </c>
      <c r="K2" s="2">
        <v>99</v>
      </c>
      <c r="L2" s="2">
        <v>4</v>
      </c>
      <c r="M2" s="2">
        <v>713</v>
      </c>
      <c r="N2" s="2"/>
      <c r="O2" s="12"/>
      <c r="P2" s="12"/>
      <c r="Q2" s="2"/>
    </row>
    <row r="3" spans="1:17" hidden="1" x14ac:dyDescent="0.25">
      <c r="A3" s="11">
        <v>15</v>
      </c>
      <c r="B3" s="36" t="s">
        <v>375</v>
      </c>
      <c r="C3" s="2">
        <v>1234</v>
      </c>
      <c r="D3" s="2">
        <v>196</v>
      </c>
      <c r="E3" s="2">
        <v>3012</v>
      </c>
      <c r="F3" s="2">
        <v>11</v>
      </c>
      <c r="G3" s="12">
        <v>15000</v>
      </c>
      <c r="H3" s="12">
        <v>6100</v>
      </c>
      <c r="I3" s="2">
        <v>164</v>
      </c>
      <c r="J3" s="2">
        <v>2037</v>
      </c>
      <c r="K3" s="2">
        <v>489</v>
      </c>
      <c r="L3" s="2">
        <v>75</v>
      </c>
      <c r="M3" s="2">
        <v>1677</v>
      </c>
      <c r="N3" s="2">
        <v>322</v>
      </c>
      <c r="O3" s="12">
        <v>106</v>
      </c>
      <c r="P3" s="12">
        <v>9</v>
      </c>
      <c r="Q3" s="2">
        <v>23</v>
      </c>
    </row>
    <row r="4" spans="1:17" hidden="1" x14ac:dyDescent="0.25">
      <c r="A4" s="11">
        <v>31</v>
      </c>
      <c r="B4" s="36" t="s">
        <v>400</v>
      </c>
      <c r="C4" s="2">
        <v>533</v>
      </c>
      <c r="D4" s="2">
        <v>51</v>
      </c>
      <c r="E4" s="2">
        <v>1242</v>
      </c>
      <c r="F4" s="2">
        <v>14</v>
      </c>
      <c r="G4" s="12">
        <v>28000</v>
      </c>
      <c r="H4" s="12">
        <v>8500</v>
      </c>
      <c r="I4" s="2">
        <v>165</v>
      </c>
      <c r="J4" s="2">
        <v>690</v>
      </c>
      <c r="K4" s="2">
        <v>285</v>
      </c>
      <c r="L4" s="2">
        <v>15</v>
      </c>
      <c r="M4" s="2">
        <v>657</v>
      </c>
      <c r="N4" s="2">
        <v>322</v>
      </c>
      <c r="O4" s="12">
        <v>112</v>
      </c>
      <c r="P4" s="12">
        <v>9</v>
      </c>
      <c r="Q4" s="2">
        <v>17</v>
      </c>
    </row>
    <row r="5" spans="1:17" hidden="1" x14ac:dyDescent="0.25">
      <c r="A5" s="11">
        <v>2</v>
      </c>
      <c r="B5" s="36" t="s">
        <v>373</v>
      </c>
      <c r="C5" s="2">
        <v>501</v>
      </c>
      <c r="D5" s="2">
        <v>45</v>
      </c>
      <c r="E5" s="2">
        <v>2359</v>
      </c>
      <c r="F5" s="2">
        <v>14</v>
      </c>
      <c r="G5" s="12">
        <v>28000</v>
      </c>
      <c r="H5" s="12">
        <v>9100</v>
      </c>
      <c r="I5" s="2">
        <v>165</v>
      </c>
      <c r="J5" s="2">
        <v>1936</v>
      </c>
      <c r="K5" s="2">
        <v>156</v>
      </c>
      <c r="L5" s="2">
        <v>3</v>
      </c>
      <c r="M5" s="2">
        <v>739</v>
      </c>
      <c r="N5" s="2"/>
      <c r="O5" s="12"/>
      <c r="P5" s="12"/>
      <c r="Q5" s="2"/>
    </row>
    <row r="6" spans="1:17" hidden="1" x14ac:dyDescent="0.25">
      <c r="A6" s="11">
        <v>18</v>
      </c>
      <c r="B6" s="36" t="s">
        <v>121</v>
      </c>
      <c r="C6" s="2">
        <v>50</v>
      </c>
      <c r="D6" s="2">
        <v>6</v>
      </c>
      <c r="E6" s="2">
        <v>2331</v>
      </c>
      <c r="F6" s="2">
        <v>14</v>
      </c>
      <c r="G6" s="12">
        <v>39000</v>
      </c>
      <c r="H6" s="12">
        <v>7700</v>
      </c>
      <c r="I6" s="2">
        <v>167</v>
      </c>
      <c r="J6" s="2">
        <v>221</v>
      </c>
      <c r="K6" s="2">
        <v>17</v>
      </c>
      <c r="L6" s="2">
        <v>2</v>
      </c>
      <c r="M6" s="2">
        <v>1628</v>
      </c>
      <c r="N6" s="2"/>
      <c r="O6" s="12"/>
      <c r="P6" s="12"/>
      <c r="Q6" s="2"/>
    </row>
    <row r="7" spans="1:17" hidden="1" x14ac:dyDescent="0.25">
      <c r="A7" s="11">
        <v>10</v>
      </c>
      <c r="B7" s="36" t="s">
        <v>119</v>
      </c>
      <c r="C7" s="2">
        <v>1505</v>
      </c>
      <c r="D7" s="2">
        <v>137</v>
      </c>
      <c r="E7" s="2">
        <v>3553</v>
      </c>
      <c r="F7" s="2">
        <v>17</v>
      </c>
      <c r="G7" s="12">
        <v>13000</v>
      </c>
      <c r="H7" s="12">
        <v>6600</v>
      </c>
      <c r="I7" s="2">
        <v>164</v>
      </c>
      <c r="J7" s="2">
        <v>2374</v>
      </c>
      <c r="K7" s="2">
        <v>273</v>
      </c>
      <c r="L7" s="2">
        <v>14</v>
      </c>
      <c r="M7" s="2">
        <v>584</v>
      </c>
      <c r="N7" s="2">
        <v>323</v>
      </c>
      <c r="O7" s="12">
        <v>108</v>
      </c>
      <c r="P7" s="12">
        <v>9</v>
      </c>
      <c r="Q7" s="2">
        <v>14</v>
      </c>
    </row>
    <row r="8" spans="1:17" hidden="1" x14ac:dyDescent="0.25">
      <c r="A8" s="11">
        <v>42</v>
      </c>
      <c r="B8" s="36" t="s">
        <v>399</v>
      </c>
      <c r="C8" s="2">
        <v>5147</v>
      </c>
      <c r="D8" s="2">
        <v>1824</v>
      </c>
      <c r="E8" s="2">
        <v>2488</v>
      </c>
      <c r="F8" s="2">
        <v>17</v>
      </c>
      <c r="G8" s="12">
        <v>26400</v>
      </c>
      <c r="H8" s="12">
        <v>5900</v>
      </c>
      <c r="I8" s="2">
        <v>163</v>
      </c>
      <c r="J8" s="2">
        <v>3159</v>
      </c>
      <c r="K8" s="2">
        <v>1100</v>
      </c>
      <c r="L8" s="2">
        <v>361</v>
      </c>
      <c r="M8" s="2">
        <v>672</v>
      </c>
      <c r="N8" s="2">
        <v>321</v>
      </c>
      <c r="O8" s="12">
        <v>100</v>
      </c>
      <c r="P8" s="12">
        <v>9</v>
      </c>
      <c r="Q8" s="2">
        <v>16</v>
      </c>
    </row>
    <row r="9" spans="1:17" hidden="1" x14ac:dyDescent="0.25">
      <c r="A9" s="11">
        <v>33</v>
      </c>
      <c r="B9" s="37" t="s">
        <v>388</v>
      </c>
      <c r="C9" s="2">
        <v>1282</v>
      </c>
      <c r="D9" s="2">
        <v>316</v>
      </c>
      <c r="E9" s="2">
        <v>1445</v>
      </c>
      <c r="F9" s="2">
        <v>18</v>
      </c>
      <c r="G9" s="12">
        <v>30000</v>
      </c>
      <c r="H9" s="12">
        <v>5600</v>
      </c>
      <c r="I9" s="2">
        <v>164</v>
      </c>
      <c r="J9" s="2">
        <v>1801</v>
      </c>
      <c r="K9" s="2">
        <v>367</v>
      </c>
      <c r="L9" s="2">
        <v>75</v>
      </c>
      <c r="M9" s="2">
        <v>674</v>
      </c>
      <c r="N9" s="2">
        <v>322</v>
      </c>
      <c r="O9" s="12">
        <v>105</v>
      </c>
      <c r="P9" s="12">
        <v>9</v>
      </c>
      <c r="Q9" s="2">
        <v>19</v>
      </c>
    </row>
    <row r="10" spans="1:17" hidden="1" x14ac:dyDescent="0.25">
      <c r="A10" s="11">
        <v>19</v>
      </c>
      <c r="B10" s="107" t="s">
        <v>402</v>
      </c>
      <c r="C10" s="2">
        <v>2179</v>
      </c>
      <c r="D10" s="2">
        <v>311</v>
      </c>
      <c r="E10" s="2">
        <v>1566</v>
      </c>
      <c r="F10" s="2">
        <v>20</v>
      </c>
      <c r="G10" s="12">
        <v>27000</v>
      </c>
      <c r="H10" s="12">
        <v>8400</v>
      </c>
      <c r="I10" s="2">
        <v>163</v>
      </c>
      <c r="J10" s="2">
        <v>1490</v>
      </c>
      <c r="K10" s="2">
        <v>1305</v>
      </c>
      <c r="L10" s="2">
        <v>99</v>
      </c>
      <c r="M10" s="2">
        <v>702</v>
      </c>
      <c r="N10" s="2">
        <v>321</v>
      </c>
      <c r="O10" s="12">
        <v>101</v>
      </c>
      <c r="P10" s="12">
        <v>9</v>
      </c>
      <c r="Q10" s="2">
        <v>14</v>
      </c>
    </row>
    <row r="11" spans="1:17" hidden="1" x14ac:dyDescent="0.25">
      <c r="A11" s="11">
        <v>30</v>
      </c>
      <c r="B11" s="38" t="s">
        <v>420</v>
      </c>
      <c r="C11" s="2">
        <v>2856</v>
      </c>
      <c r="D11" s="2">
        <v>1269</v>
      </c>
      <c r="E11" s="2">
        <v>1503</v>
      </c>
      <c r="F11" s="2">
        <v>20</v>
      </c>
      <c r="G11" s="12">
        <v>56000</v>
      </c>
      <c r="H11" s="12">
        <v>7200</v>
      </c>
      <c r="I11" s="2">
        <v>160</v>
      </c>
      <c r="J11" s="2">
        <v>1164</v>
      </c>
      <c r="K11" s="2">
        <v>1303</v>
      </c>
      <c r="L11" s="2">
        <v>315</v>
      </c>
      <c r="M11" s="2">
        <v>583</v>
      </c>
      <c r="N11" s="2">
        <v>317</v>
      </c>
      <c r="O11" s="12">
        <v>102</v>
      </c>
      <c r="P11" s="12">
        <v>8</v>
      </c>
      <c r="Q11" s="2">
        <v>16</v>
      </c>
    </row>
    <row r="12" spans="1:17" hidden="1" x14ac:dyDescent="0.25">
      <c r="A12" s="11">
        <v>25</v>
      </c>
      <c r="B12" s="2" t="s">
        <v>407</v>
      </c>
      <c r="C12" s="2">
        <v>776</v>
      </c>
      <c r="D12" s="2">
        <v>105</v>
      </c>
      <c r="E12" s="2">
        <v>1094</v>
      </c>
      <c r="F12" s="2">
        <v>21</v>
      </c>
      <c r="G12" s="12">
        <v>28000</v>
      </c>
      <c r="H12" s="12">
        <v>6500</v>
      </c>
      <c r="I12" s="2">
        <v>162</v>
      </c>
      <c r="J12" s="2">
        <v>1159</v>
      </c>
      <c r="K12" s="2">
        <v>444</v>
      </c>
      <c r="L12" s="2">
        <v>30</v>
      </c>
      <c r="M12" s="2">
        <v>509</v>
      </c>
      <c r="N12" s="2">
        <v>320</v>
      </c>
      <c r="O12" s="12">
        <v>107</v>
      </c>
      <c r="P12" s="12">
        <v>8</v>
      </c>
      <c r="Q12" s="2">
        <v>18</v>
      </c>
    </row>
    <row r="13" spans="1:17" hidden="1" x14ac:dyDescent="0.25">
      <c r="A13" s="11">
        <v>35</v>
      </c>
      <c r="B13" s="37" t="s">
        <v>113</v>
      </c>
      <c r="C13" s="2">
        <v>113</v>
      </c>
      <c r="D13" s="2">
        <v>21</v>
      </c>
      <c r="E13" s="2">
        <v>1957</v>
      </c>
      <c r="F13" s="2">
        <v>21</v>
      </c>
      <c r="G13" s="12">
        <v>32000</v>
      </c>
      <c r="H13" s="12">
        <v>6600</v>
      </c>
      <c r="I13" s="2">
        <v>165</v>
      </c>
      <c r="J13" s="2">
        <v>868</v>
      </c>
      <c r="K13" s="2">
        <v>40</v>
      </c>
      <c r="L13" s="2">
        <v>3</v>
      </c>
      <c r="M13" s="2">
        <v>1553</v>
      </c>
      <c r="N13" s="2"/>
      <c r="O13" s="2"/>
      <c r="P13" s="2"/>
      <c r="Q13" s="2"/>
    </row>
    <row r="14" spans="1:17" hidden="1" x14ac:dyDescent="0.25">
      <c r="A14" s="11">
        <v>7</v>
      </c>
      <c r="B14" s="33" t="s">
        <v>387</v>
      </c>
      <c r="C14" s="2">
        <v>970</v>
      </c>
      <c r="D14" s="2">
        <v>279</v>
      </c>
      <c r="E14" s="2">
        <v>2990</v>
      </c>
      <c r="F14" s="2">
        <v>22</v>
      </c>
      <c r="G14" s="12">
        <v>26000</v>
      </c>
      <c r="H14" s="12">
        <v>10000</v>
      </c>
      <c r="I14" s="2">
        <v>166</v>
      </c>
      <c r="J14" s="2">
        <v>3038</v>
      </c>
      <c r="K14" s="2">
        <v>403</v>
      </c>
      <c r="L14" s="2">
        <v>73</v>
      </c>
      <c r="M14" s="2">
        <v>761</v>
      </c>
      <c r="N14" s="2">
        <v>326</v>
      </c>
      <c r="O14" s="12">
        <v>100</v>
      </c>
      <c r="P14" s="12">
        <v>9</v>
      </c>
      <c r="Q14" s="2">
        <v>11</v>
      </c>
    </row>
    <row r="15" spans="1:17" hidden="1" x14ac:dyDescent="0.25">
      <c r="A15" s="11">
        <v>22</v>
      </c>
      <c r="B15" s="38" t="s">
        <v>110</v>
      </c>
      <c r="C15" s="2">
        <v>1456</v>
      </c>
      <c r="D15" s="2">
        <v>346</v>
      </c>
      <c r="E15" s="2">
        <v>1483</v>
      </c>
      <c r="F15" s="2">
        <v>22</v>
      </c>
      <c r="G15" s="12">
        <v>15000</v>
      </c>
      <c r="H15" s="12">
        <v>6900</v>
      </c>
      <c r="I15" s="2">
        <v>162</v>
      </c>
      <c r="J15" s="2">
        <v>868</v>
      </c>
      <c r="K15" s="2">
        <v>864</v>
      </c>
      <c r="L15" s="2">
        <v>111</v>
      </c>
      <c r="M15" s="2">
        <v>820</v>
      </c>
      <c r="N15" s="2">
        <v>326</v>
      </c>
      <c r="O15" s="12">
        <v>107</v>
      </c>
      <c r="P15" s="12">
        <v>9</v>
      </c>
      <c r="Q15" s="2">
        <v>14</v>
      </c>
    </row>
    <row r="16" spans="1:17" x14ac:dyDescent="0.25">
      <c r="A16" s="11">
        <v>11</v>
      </c>
      <c r="B16" s="11" t="s">
        <v>379</v>
      </c>
      <c r="C16" s="2">
        <v>1635</v>
      </c>
      <c r="D16" s="2">
        <v>246</v>
      </c>
      <c r="E16" s="2">
        <v>2995</v>
      </c>
      <c r="F16" s="2">
        <v>22</v>
      </c>
      <c r="G16" s="12">
        <v>25000</v>
      </c>
      <c r="H16" s="12">
        <v>8000</v>
      </c>
      <c r="I16" s="2">
        <v>165</v>
      </c>
      <c r="J16" s="2">
        <v>1862</v>
      </c>
      <c r="K16" s="2">
        <v>942</v>
      </c>
      <c r="L16" s="2">
        <v>80</v>
      </c>
      <c r="M16" s="2">
        <v>784</v>
      </c>
      <c r="N16" s="2">
        <v>324</v>
      </c>
      <c r="O16" s="12">
        <v>99</v>
      </c>
      <c r="P16" s="12">
        <v>9</v>
      </c>
      <c r="Q16" s="2">
        <v>16</v>
      </c>
    </row>
    <row r="17" spans="1:17" hidden="1" x14ac:dyDescent="0.25">
      <c r="A17" s="11">
        <v>24</v>
      </c>
      <c r="B17" s="37" t="s">
        <v>18</v>
      </c>
      <c r="C17" s="2">
        <v>424</v>
      </c>
      <c r="D17" s="2">
        <v>93</v>
      </c>
      <c r="E17" s="2">
        <v>1265</v>
      </c>
      <c r="F17" s="2">
        <v>23</v>
      </c>
      <c r="G17" s="12">
        <v>48000</v>
      </c>
      <c r="H17" s="12">
        <v>7200</v>
      </c>
      <c r="I17" s="2">
        <v>165</v>
      </c>
      <c r="J17" s="2">
        <v>1857</v>
      </c>
      <c r="K17" s="2">
        <v>113</v>
      </c>
      <c r="L17" s="2">
        <v>16</v>
      </c>
      <c r="M17" s="2">
        <v>238</v>
      </c>
      <c r="N17" s="2">
        <v>317</v>
      </c>
      <c r="O17" s="12">
        <v>110</v>
      </c>
      <c r="P17" s="12">
        <v>9</v>
      </c>
      <c r="Q17" s="2">
        <v>11</v>
      </c>
    </row>
    <row r="18" spans="1:17" hidden="1" x14ac:dyDescent="0.25">
      <c r="A18" s="11">
        <v>9</v>
      </c>
      <c r="B18" s="33" t="s">
        <v>79</v>
      </c>
      <c r="C18" s="2">
        <v>960</v>
      </c>
      <c r="D18" s="2">
        <v>218</v>
      </c>
      <c r="E18" s="2">
        <v>1358</v>
      </c>
      <c r="F18" s="2">
        <v>23</v>
      </c>
      <c r="G18" s="12">
        <v>30000</v>
      </c>
      <c r="H18" s="12">
        <v>6700</v>
      </c>
      <c r="I18" s="2">
        <v>166</v>
      </c>
      <c r="J18" s="2">
        <v>1596</v>
      </c>
      <c r="K18" s="2">
        <v>313</v>
      </c>
      <c r="L18" s="2">
        <v>47</v>
      </c>
      <c r="M18" s="2">
        <v>317</v>
      </c>
      <c r="N18" s="2">
        <v>323</v>
      </c>
      <c r="O18" s="12">
        <v>103</v>
      </c>
      <c r="P18" s="12">
        <v>9</v>
      </c>
      <c r="Q18" s="2">
        <v>14</v>
      </c>
    </row>
    <row r="19" spans="1:17" x14ac:dyDescent="0.25">
      <c r="A19" s="11">
        <v>12</v>
      </c>
      <c r="B19" s="107" t="s">
        <v>123</v>
      </c>
      <c r="C19" s="2">
        <v>5212</v>
      </c>
      <c r="D19" s="2">
        <v>1904</v>
      </c>
      <c r="E19" s="2">
        <v>3123</v>
      </c>
      <c r="F19" s="2">
        <v>23</v>
      </c>
      <c r="G19" s="12">
        <v>51500</v>
      </c>
      <c r="H19" s="12">
        <v>8500</v>
      </c>
      <c r="I19" s="2">
        <v>164</v>
      </c>
      <c r="J19" s="2">
        <v>5142</v>
      </c>
      <c r="K19" s="2">
        <v>2703</v>
      </c>
      <c r="L19" s="2">
        <v>787</v>
      </c>
      <c r="M19" s="2">
        <v>1120</v>
      </c>
      <c r="N19" s="2">
        <v>319</v>
      </c>
      <c r="O19" s="12">
        <v>100</v>
      </c>
      <c r="P19" s="12">
        <v>9</v>
      </c>
      <c r="Q19" s="2">
        <v>14</v>
      </c>
    </row>
    <row r="20" spans="1:17" hidden="1" x14ac:dyDescent="0.25">
      <c r="A20" s="11">
        <v>16</v>
      </c>
      <c r="B20" s="2" t="s">
        <v>16</v>
      </c>
      <c r="C20" s="2">
        <v>2217</v>
      </c>
      <c r="D20" s="2">
        <v>501</v>
      </c>
      <c r="E20" s="2">
        <v>4315</v>
      </c>
      <c r="F20" s="2">
        <v>23</v>
      </c>
      <c r="G20" s="12">
        <v>31000</v>
      </c>
      <c r="H20" s="12">
        <v>5100</v>
      </c>
      <c r="I20" s="2">
        <v>164</v>
      </c>
      <c r="J20" s="2">
        <v>3409</v>
      </c>
      <c r="K20" s="2">
        <v>403</v>
      </c>
      <c r="L20" s="2">
        <v>30</v>
      </c>
      <c r="M20" s="2">
        <v>827</v>
      </c>
      <c r="N20" s="2">
        <v>320</v>
      </c>
      <c r="O20" s="12">
        <v>103</v>
      </c>
      <c r="P20" s="12">
        <v>9</v>
      </c>
      <c r="Q20" s="2">
        <v>16</v>
      </c>
    </row>
    <row r="21" spans="1:17" hidden="1" x14ac:dyDescent="0.25">
      <c r="A21" s="11">
        <v>17</v>
      </c>
      <c r="B21" s="37" t="s">
        <v>126</v>
      </c>
      <c r="C21" s="2">
        <v>268</v>
      </c>
      <c r="D21" s="2">
        <v>114</v>
      </c>
      <c r="E21" s="2">
        <v>1782</v>
      </c>
      <c r="F21" s="2">
        <v>24</v>
      </c>
      <c r="G21" s="12">
        <v>50500</v>
      </c>
      <c r="H21" s="12">
        <v>7000</v>
      </c>
      <c r="I21" s="2">
        <v>165</v>
      </c>
      <c r="J21" s="2">
        <v>3234</v>
      </c>
      <c r="K21" s="2">
        <v>99</v>
      </c>
      <c r="L21" s="2">
        <v>30</v>
      </c>
      <c r="M21" s="2">
        <v>282</v>
      </c>
      <c r="N21" s="2">
        <v>321</v>
      </c>
      <c r="O21" s="12">
        <v>110</v>
      </c>
      <c r="P21" s="12">
        <v>8</v>
      </c>
      <c r="Q21" s="2">
        <v>16</v>
      </c>
    </row>
    <row r="22" spans="1:17" hidden="1" x14ac:dyDescent="0.25">
      <c r="A22" s="11">
        <v>37</v>
      </c>
      <c r="B22" s="107" t="s">
        <v>377</v>
      </c>
      <c r="C22" s="2">
        <v>1172</v>
      </c>
      <c r="D22" s="2">
        <v>314</v>
      </c>
      <c r="E22" s="2">
        <v>2283</v>
      </c>
      <c r="F22" s="2">
        <v>24</v>
      </c>
      <c r="G22" s="12">
        <v>16000</v>
      </c>
      <c r="H22" s="12">
        <v>6500</v>
      </c>
      <c r="I22" s="2">
        <v>165</v>
      </c>
      <c r="J22" s="2">
        <v>1867</v>
      </c>
      <c r="K22" s="2">
        <v>376</v>
      </c>
      <c r="L22" s="2">
        <v>58</v>
      </c>
      <c r="M22" s="2">
        <v>502</v>
      </c>
      <c r="N22" s="2">
        <v>323</v>
      </c>
      <c r="O22" s="12">
        <v>99</v>
      </c>
      <c r="P22" s="12">
        <v>9</v>
      </c>
      <c r="Q22" s="2">
        <v>17</v>
      </c>
    </row>
    <row r="23" spans="1:17" hidden="1" x14ac:dyDescent="0.25">
      <c r="A23" s="11">
        <v>39</v>
      </c>
      <c r="B23" s="38" t="s">
        <v>20</v>
      </c>
      <c r="C23" s="2">
        <v>4052</v>
      </c>
      <c r="D23" s="2">
        <v>856</v>
      </c>
      <c r="E23" s="2">
        <v>4529</v>
      </c>
      <c r="F23" s="2">
        <v>24</v>
      </c>
      <c r="G23" s="12">
        <v>12000</v>
      </c>
      <c r="H23" s="12">
        <v>6700</v>
      </c>
      <c r="I23" s="2">
        <v>163</v>
      </c>
      <c r="J23" s="2">
        <v>3379</v>
      </c>
      <c r="K23" s="2">
        <v>1193</v>
      </c>
      <c r="L23" s="2">
        <v>109</v>
      </c>
      <c r="M23" s="2">
        <v>2085</v>
      </c>
      <c r="N23" s="2">
        <v>323</v>
      </c>
      <c r="O23" s="12">
        <v>104</v>
      </c>
      <c r="P23" s="12">
        <v>9</v>
      </c>
      <c r="Q23" s="2">
        <v>19</v>
      </c>
    </row>
    <row r="24" spans="1:17" hidden="1" x14ac:dyDescent="0.25">
      <c r="A24" s="11">
        <v>26</v>
      </c>
      <c r="B24" s="37" t="s">
        <v>108</v>
      </c>
      <c r="C24" s="2">
        <v>57</v>
      </c>
      <c r="D24" s="2">
        <v>9</v>
      </c>
      <c r="E24" s="2">
        <v>941</v>
      </c>
      <c r="F24" s="2">
        <v>24</v>
      </c>
      <c r="G24" s="12">
        <v>50300</v>
      </c>
      <c r="H24" s="12">
        <v>6100</v>
      </c>
      <c r="I24" s="2">
        <v>164</v>
      </c>
      <c r="J24" s="2">
        <v>371</v>
      </c>
      <c r="K24" s="2">
        <v>36</v>
      </c>
      <c r="L24" s="2">
        <v>5</v>
      </c>
      <c r="M24" s="2">
        <v>491</v>
      </c>
      <c r="N24" s="2"/>
      <c r="O24" s="12"/>
      <c r="P24" s="12"/>
      <c r="Q24" s="2"/>
    </row>
    <row r="25" spans="1:17" x14ac:dyDescent="0.25">
      <c r="A25" s="11">
        <v>13</v>
      </c>
      <c r="B25" s="38" t="s">
        <v>380</v>
      </c>
      <c r="C25" s="2">
        <v>1685</v>
      </c>
      <c r="D25" s="2">
        <v>568</v>
      </c>
      <c r="E25" s="2">
        <v>1967</v>
      </c>
      <c r="F25" s="2">
        <v>25</v>
      </c>
      <c r="G25" s="12">
        <v>29000</v>
      </c>
      <c r="H25" s="12">
        <v>6400</v>
      </c>
      <c r="I25" s="2">
        <v>163</v>
      </c>
      <c r="J25" s="2">
        <v>2217</v>
      </c>
      <c r="K25" s="2">
        <v>309</v>
      </c>
      <c r="L25" s="2">
        <v>17</v>
      </c>
      <c r="M25" s="2">
        <v>430</v>
      </c>
      <c r="N25" s="2">
        <v>319</v>
      </c>
      <c r="O25" s="12">
        <v>97</v>
      </c>
      <c r="P25" s="12">
        <v>9</v>
      </c>
      <c r="Q25" s="2">
        <v>11</v>
      </c>
    </row>
    <row r="26" spans="1:17" hidden="1" x14ac:dyDescent="0.25">
      <c r="A26" s="11">
        <v>20</v>
      </c>
      <c r="B26" s="47" t="s">
        <v>124</v>
      </c>
      <c r="C26" s="2">
        <v>448</v>
      </c>
      <c r="D26" s="2">
        <v>216</v>
      </c>
      <c r="E26" s="2">
        <v>685</v>
      </c>
      <c r="F26" s="2">
        <v>25</v>
      </c>
      <c r="G26" s="12">
        <v>52900</v>
      </c>
      <c r="H26" s="12">
        <v>9400</v>
      </c>
      <c r="I26" s="2">
        <v>164</v>
      </c>
      <c r="J26" s="2">
        <v>958</v>
      </c>
      <c r="K26" s="2">
        <v>120</v>
      </c>
      <c r="L26" s="2">
        <v>61</v>
      </c>
      <c r="M26" s="2">
        <v>163</v>
      </c>
      <c r="N26" s="2">
        <v>312</v>
      </c>
      <c r="O26" s="12">
        <v>92</v>
      </c>
      <c r="P26" s="12">
        <v>7</v>
      </c>
      <c r="Q26" s="2">
        <v>11</v>
      </c>
    </row>
    <row r="27" spans="1:17" hidden="1" x14ac:dyDescent="0.25">
      <c r="A27" s="11">
        <v>4</v>
      </c>
      <c r="B27" s="33" t="s">
        <v>122</v>
      </c>
      <c r="C27" s="2">
        <v>1045</v>
      </c>
      <c r="D27" s="2">
        <v>255</v>
      </c>
      <c r="E27" s="2">
        <v>3987</v>
      </c>
      <c r="F27" s="2">
        <v>25</v>
      </c>
      <c r="G27" s="12">
        <v>87400</v>
      </c>
      <c r="H27" s="12">
        <v>6900</v>
      </c>
      <c r="I27" s="2">
        <v>165</v>
      </c>
      <c r="J27" s="2">
        <v>3212</v>
      </c>
      <c r="K27" s="2">
        <v>196</v>
      </c>
      <c r="L27" s="2">
        <v>14</v>
      </c>
      <c r="M27" s="2">
        <v>1483</v>
      </c>
      <c r="N27" s="2">
        <v>323</v>
      </c>
      <c r="O27" s="12">
        <v>112</v>
      </c>
      <c r="P27" s="12">
        <v>9</v>
      </c>
      <c r="Q27" s="2">
        <v>26</v>
      </c>
    </row>
    <row r="28" spans="1:17" hidden="1" x14ac:dyDescent="0.25">
      <c r="A28" s="11">
        <v>6</v>
      </c>
      <c r="B28" s="33" t="s">
        <v>120</v>
      </c>
      <c r="C28" s="2">
        <v>1347</v>
      </c>
      <c r="D28" s="2">
        <v>234</v>
      </c>
      <c r="E28" s="2">
        <v>2393</v>
      </c>
      <c r="F28" s="2">
        <v>26</v>
      </c>
      <c r="G28" s="12">
        <v>64000</v>
      </c>
      <c r="H28" s="12">
        <v>6100</v>
      </c>
      <c r="I28" s="2">
        <v>165</v>
      </c>
      <c r="J28" s="2">
        <v>3316</v>
      </c>
      <c r="K28" s="2">
        <v>445</v>
      </c>
      <c r="L28" s="2">
        <v>18</v>
      </c>
      <c r="M28" s="2">
        <v>754</v>
      </c>
      <c r="N28" s="2">
        <v>325</v>
      </c>
      <c r="O28" s="12">
        <v>98</v>
      </c>
      <c r="P28" s="12">
        <v>9</v>
      </c>
      <c r="Q28" s="2">
        <v>12</v>
      </c>
    </row>
    <row r="29" spans="1:17" x14ac:dyDescent="0.25">
      <c r="A29" s="11">
        <v>1</v>
      </c>
      <c r="B29" s="38" t="s">
        <v>7</v>
      </c>
      <c r="C29" s="2">
        <v>1647</v>
      </c>
      <c r="D29" s="2">
        <v>449</v>
      </c>
      <c r="E29" s="2">
        <v>3894</v>
      </c>
      <c r="F29" s="2">
        <v>27</v>
      </c>
      <c r="G29" s="12">
        <v>43000</v>
      </c>
      <c r="H29" s="12">
        <v>6000</v>
      </c>
      <c r="I29" s="2">
        <v>166</v>
      </c>
      <c r="J29" s="2">
        <v>3400</v>
      </c>
      <c r="K29" s="2">
        <v>513</v>
      </c>
      <c r="L29" s="2">
        <v>45</v>
      </c>
      <c r="M29" s="2">
        <v>812</v>
      </c>
      <c r="N29" s="2">
        <v>323</v>
      </c>
      <c r="O29" s="12">
        <v>107</v>
      </c>
      <c r="P29" s="12">
        <v>9</v>
      </c>
      <c r="Q29" s="2">
        <v>15</v>
      </c>
    </row>
    <row r="30" spans="1:17" x14ac:dyDescent="0.25">
      <c r="A30" s="11">
        <v>3</v>
      </c>
      <c r="B30" s="2" t="s">
        <v>118</v>
      </c>
      <c r="C30" s="2">
        <v>574</v>
      </c>
      <c r="D30" s="2">
        <v>171</v>
      </c>
      <c r="E30" s="2">
        <v>3440</v>
      </c>
      <c r="F30" s="2">
        <v>28</v>
      </c>
      <c r="G30" s="12">
        <v>50000</v>
      </c>
      <c r="H30" s="12">
        <v>6400</v>
      </c>
      <c r="I30" s="2">
        <v>165</v>
      </c>
      <c r="J30" s="2">
        <v>1966</v>
      </c>
      <c r="K30" s="2">
        <v>209</v>
      </c>
      <c r="L30" s="2">
        <v>29</v>
      </c>
      <c r="M30" s="2">
        <v>1825</v>
      </c>
      <c r="N30" s="2">
        <v>322</v>
      </c>
      <c r="O30" s="12">
        <v>111</v>
      </c>
      <c r="P30" s="12">
        <v>9</v>
      </c>
      <c r="Q30" s="2">
        <v>23</v>
      </c>
    </row>
    <row r="31" spans="1:17" hidden="1" x14ac:dyDescent="0.25">
      <c r="A31" s="11">
        <v>21</v>
      </c>
      <c r="B31" s="2" t="s">
        <v>125</v>
      </c>
      <c r="C31" s="2">
        <v>297</v>
      </c>
      <c r="D31" s="2">
        <v>139</v>
      </c>
      <c r="E31" s="2">
        <v>507</v>
      </c>
      <c r="F31" s="2">
        <v>28</v>
      </c>
      <c r="G31" s="12">
        <v>49000</v>
      </c>
      <c r="H31" s="12">
        <v>6300</v>
      </c>
      <c r="I31" s="2">
        <v>164</v>
      </c>
      <c r="J31" s="2">
        <v>1041</v>
      </c>
      <c r="K31" s="2">
        <v>44</v>
      </c>
      <c r="L31" s="2">
        <v>7</v>
      </c>
      <c r="M31" s="2">
        <v>169</v>
      </c>
      <c r="N31" s="2"/>
      <c r="O31" s="12"/>
      <c r="P31" s="12"/>
      <c r="Q31" s="2"/>
    </row>
    <row r="32" spans="1:17" x14ac:dyDescent="0.25">
      <c r="A32" s="11">
        <v>8</v>
      </c>
      <c r="B32" s="11" t="s">
        <v>378</v>
      </c>
      <c r="C32" s="2">
        <v>1038</v>
      </c>
      <c r="D32" s="2">
        <v>177</v>
      </c>
      <c r="E32" s="2">
        <v>2532</v>
      </c>
      <c r="F32" s="2">
        <v>29</v>
      </c>
      <c r="G32" s="12">
        <v>32000</v>
      </c>
      <c r="H32" s="12">
        <v>8500</v>
      </c>
      <c r="I32" s="2">
        <v>165</v>
      </c>
      <c r="J32" s="2">
        <v>1928</v>
      </c>
      <c r="K32" s="2">
        <v>590</v>
      </c>
      <c r="L32" s="2">
        <v>72</v>
      </c>
      <c r="M32" s="2">
        <v>1674</v>
      </c>
      <c r="N32" s="2">
        <v>326</v>
      </c>
      <c r="O32" s="12">
        <v>94</v>
      </c>
      <c r="P32" s="12">
        <v>9</v>
      </c>
      <c r="Q32" s="2">
        <v>9</v>
      </c>
    </row>
    <row r="33" spans="1:17" hidden="1" x14ac:dyDescent="0.25">
      <c r="A33" s="11">
        <v>27</v>
      </c>
      <c r="B33" s="38" t="s">
        <v>382</v>
      </c>
      <c r="C33" s="2">
        <v>1537</v>
      </c>
      <c r="D33" s="2">
        <v>358</v>
      </c>
      <c r="E33" s="2">
        <v>3194</v>
      </c>
      <c r="F33" s="2">
        <v>30</v>
      </c>
      <c r="G33" s="12">
        <v>34000</v>
      </c>
      <c r="H33" s="12">
        <v>5200</v>
      </c>
      <c r="I33" s="2">
        <v>163</v>
      </c>
      <c r="J33" s="2">
        <v>1652</v>
      </c>
      <c r="K33" s="2">
        <v>439</v>
      </c>
      <c r="L33" s="2">
        <v>43</v>
      </c>
      <c r="M33" s="2">
        <v>982</v>
      </c>
      <c r="N33" s="2">
        <v>318</v>
      </c>
      <c r="O33" s="12">
        <v>97</v>
      </c>
      <c r="P33" s="12">
        <v>8</v>
      </c>
      <c r="Q33" s="2">
        <v>19</v>
      </c>
    </row>
    <row r="34" spans="1:17" hidden="1" x14ac:dyDescent="0.25">
      <c r="A34" s="11">
        <v>34</v>
      </c>
      <c r="B34" s="2" t="s">
        <v>357</v>
      </c>
      <c r="C34" s="2">
        <v>466</v>
      </c>
      <c r="D34" s="2">
        <v>190</v>
      </c>
      <c r="E34" s="2">
        <v>1030</v>
      </c>
      <c r="F34" s="2">
        <v>30</v>
      </c>
      <c r="G34" s="12">
        <v>40000</v>
      </c>
      <c r="H34" s="12">
        <v>6000</v>
      </c>
      <c r="I34" s="2">
        <v>163</v>
      </c>
      <c r="J34" s="2">
        <v>1080</v>
      </c>
      <c r="K34" s="2">
        <v>87</v>
      </c>
      <c r="L34" s="2">
        <v>29</v>
      </c>
      <c r="M34" s="2">
        <v>114</v>
      </c>
      <c r="N34" s="2">
        <v>315</v>
      </c>
      <c r="O34" s="12">
        <v>100</v>
      </c>
      <c r="P34" s="12">
        <v>8</v>
      </c>
      <c r="Q34" s="2">
        <v>21</v>
      </c>
    </row>
    <row r="35" spans="1:17" x14ac:dyDescent="0.25">
      <c r="A35" s="11">
        <v>5</v>
      </c>
      <c r="B35" s="38" t="s">
        <v>201</v>
      </c>
      <c r="C35" s="2">
        <v>2899</v>
      </c>
      <c r="D35" s="2">
        <v>430</v>
      </c>
      <c r="E35" s="2">
        <v>4259</v>
      </c>
      <c r="F35" s="2">
        <v>31</v>
      </c>
      <c r="G35" s="12">
        <v>28000</v>
      </c>
      <c r="H35" s="12">
        <v>6000</v>
      </c>
      <c r="I35" s="2">
        <v>164</v>
      </c>
      <c r="J35" s="2">
        <v>6136</v>
      </c>
      <c r="K35" s="2">
        <v>1090</v>
      </c>
      <c r="L35" s="2">
        <v>69</v>
      </c>
      <c r="M35" s="2">
        <v>1392</v>
      </c>
      <c r="N35" s="2">
        <v>325</v>
      </c>
      <c r="O35" s="12">
        <v>102</v>
      </c>
      <c r="P35" s="12">
        <v>9</v>
      </c>
      <c r="Q35" s="2">
        <v>18</v>
      </c>
    </row>
    <row r="36" spans="1:17" hidden="1" x14ac:dyDescent="0.25">
      <c r="A36" s="11">
        <v>29</v>
      </c>
      <c r="B36" s="107" t="s">
        <v>397</v>
      </c>
      <c r="C36" s="2">
        <v>253</v>
      </c>
      <c r="D36" s="2">
        <v>10</v>
      </c>
      <c r="E36" s="2">
        <v>721</v>
      </c>
      <c r="F36" s="2">
        <v>32</v>
      </c>
      <c r="G36" s="12">
        <v>34000</v>
      </c>
      <c r="H36" s="12">
        <v>6600</v>
      </c>
      <c r="I36" s="2">
        <v>158</v>
      </c>
      <c r="J36" s="2">
        <v>112</v>
      </c>
      <c r="K36" s="2">
        <v>228</v>
      </c>
      <c r="L36" s="2">
        <v>3</v>
      </c>
      <c r="M36" s="2">
        <v>426</v>
      </c>
      <c r="N36" s="2"/>
      <c r="O36" s="12"/>
      <c r="P36" s="12"/>
      <c r="Q36" s="2"/>
    </row>
    <row r="37" spans="1:17" hidden="1" x14ac:dyDescent="0.25">
      <c r="A37" s="11">
        <v>43</v>
      </c>
      <c r="B37" s="107" t="s">
        <v>384</v>
      </c>
      <c r="C37" s="2">
        <v>807</v>
      </c>
      <c r="D37" s="2">
        <v>227</v>
      </c>
      <c r="E37" s="2">
        <v>865</v>
      </c>
      <c r="F37" s="2">
        <v>34</v>
      </c>
      <c r="G37" s="12">
        <v>34000</v>
      </c>
      <c r="H37" s="12">
        <v>5700</v>
      </c>
      <c r="I37" s="2">
        <v>162</v>
      </c>
      <c r="J37" s="2">
        <v>1209</v>
      </c>
      <c r="K37" s="2">
        <v>60</v>
      </c>
      <c r="L37" s="2">
        <v>19</v>
      </c>
      <c r="M37" s="2">
        <v>86</v>
      </c>
      <c r="N37" s="2">
        <v>321</v>
      </c>
      <c r="O37" s="12">
        <v>101</v>
      </c>
      <c r="P37" s="12">
        <v>8</v>
      </c>
      <c r="Q37" s="2">
        <v>26</v>
      </c>
    </row>
    <row r="38" spans="1:17" hidden="1" x14ac:dyDescent="0.25">
      <c r="A38" s="11">
        <v>32</v>
      </c>
      <c r="B38" s="107" t="s">
        <v>351</v>
      </c>
      <c r="C38" s="2">
        <v>5580</v>
      </c>
      <c r="D38" s="2">
        <v>2183</v>
      </c>
      <c r="E38" s="2">
        <v>2999</v>
      </c>
      <c r="F38" s="2">
        <v>36</v>
      </c>
      <c r="G38" s="12">
        <v>25000</v>
      </c>
      <c r="H38" s="12">
        <v>9400</v>
      </c>
      <c r="I38" s="2">
        <v>161</v>
      </c>
      <c r="J38" s="2">
        <v>3182</v>
      </c>
      <c r="K38" s="2">
        <v>2189</v>
      </c>
      <c r="L38" s="2">
        <v>550</v>
      </c>
      <c r="M38" s="2">
        <v>1112</v>
      </c>
      <c r="N38" s="2">
        <v>317</v>
      </c>
      <c r="O38" s="12">
        <v>104</v>
      </c>
      <c r="P38" s="12">
        <v>8</v>
      </c>
      <c r="Q38" s="2">
        <v>14</v>
      </c>
    </row>
    <row r="39" spans="1:17" hidden="1" x14ac:dyDescent="0.25">
      <c r="A39" s="11">
        <v>44</v>
      </c>
      <c r="B39" s="33" t="s">
        <v>32</v>
      </c>
      <c r="C39" s="2">
        <v>3003</v>
      </c>
      <c r="D39" s="2">
        <v>1035</v>
      </c>
      <c r="E39" s="2">
        <v>1953</v>
      </c>
      <c r="F39" s="2">
        <v>37</v>
      </c>
      <c r="G39" s="12">
        <v>30000</v>
      </c>
      <c r="H39" s="12">
        <v>5600</v>
      </c>
      <c r="I39" s="2">
        <v>162</v>
      </c>
      <c r="J39" s="2">
        <v>2484</v>
      </c>
      <c r="K39" s="2">
        <v>1302</v>
      </c>
      <c r="L39" s="2">
        <v>325</v>
      </c>
      <c r="M39" s="2">
        <v>969</v>
      </c>
      <c r="N39" s="2">
        <v>319</v>
      </c>
      <c r="O39" s="12">
        <v>102</v>
      </c>
      <c r="P39" s="12">
        <v>8</v>
      </c>
      <c r="Q39" s="2">
        <v>18</v>
      </c>
    </row>
    <row r="40" spans="1:17" hidden="1" x14ac:dyDescent="0.25">
      <c r="A40" s="11">
        <v>14</v>
      </c>
      <c r="B40" s="33" t="s">
        <v>11</v>
      </c>
      <c r="C40" s="2">
        <v>1175</v>
      </c>
      <c r="D40" s="2">
        <v>446</v>
      </c>
      <c r="E40" s="2">
        <v>1985</v>
      </c>
      <c r="F40" s="2">
        <v>38</v>
      </c>
      <c r="G40" s="12">
        <v>25000</v>
      </c>
      <c r="H40" s="12">
        <v>10000</v>
      </c>
      <c r="I40" s="2">
        <v>162</v>
      </c>
      <c r="J40" s="2">
        <v>2306</v>
      </c>
      <c r="K40" s="2">
        <v>507</v>
      </c>
      <c r="L40" s="2">
        <v>151</v>
      </c>
      <c r="M40" s="2">
        <v>680</v>
      </c>
      <c r="N40" s="2">
        <v>321</v>
      </c>
      <c r="O40" s="12">
        <v>96</v>
      </c>
      <c r="P40" s="12">
        <v>8</v>
      </c>
      <c r="Q40" s="2">
        <v>15</v>
      </c>
    </row>
    <row r="41" spans="1:17" hidden="1" x14ac:dyDescent="0.25">
      <c r="A41" s="11">
        <v>38</v>
      </c>
      <c r="B41" s="2" t="s">
        <v>383</v>
      </c>
      <c r="C41" s="2">
        <v>1602</v>
      </c>
      <c r="D41" s="2">
        <v>670</v>
      </c>
      <c r="E41" s="2">
        <v>1340</v>
      </c>
      <c r="F41" s="2">
        <v>38</v>
      </c>
      <c r="G41" s="12">
        <v>30000</v>
      </c>
      <c r="H41" s="12">
        <v>7700</v>
      </c>
      <c r="I41" s="2">
        <v>161</v>
      </c>
      <c r="J41" s="2">
        <v>1663</v>
      </c>
      <c r="K41" s="2">
        <v>514</v>
      </c>
      <c r="L41" s="2">
        <v>141</v>
      </c>
      <c r="M41" s="2">
        <v>319</v>
      </c>
      <c r="N41" s="2">
        <v>318</v>
      </c>
      <c r="O41" s="12">
        <v>100</v>
      </c>
      <c r="P41" s="12">
        <v>9</v>
      </c>
      <c r="Q41" s="2">
        <v>19</v>
      </c>
    </row>
    <row r="42" spans="1:17" hidden="1" x14ac:dyDescent="0.25">
      <c r="A42" s="11">
        <v>41</v>
      </c>
      <c r="B42" s="108" t="s">
        <v>431</v>
      </c>
      <c r="C42" s="2">
        <v>64</v>
      </c>
      <c r="D42" s="2">
        <v>25</v>
      </c>
      <c r="E42" s="2">
        <v>1101</v>
      </c>
      <c r="F42" s="2">
        <v>45</v>
      </c>
      <c r="G42" s="12">
        <v>48000</v>
      </c>
      <c r="H42" s="12">
        <v>5400</v>
      </c>
      <c r="I42" s="2">
        <v>165</v>
      </c>
      <c r="J42" s="2">
        <v>976</v>
      </c>
      <c r="K42" s="2">
        <v>26</v>
      </c>
      <c r="L42" s="2">
        <v>9</v>
      </c>
      <c r="M42" s="2">
        <v>359</v>
      </c>
      <c r="N42" s="2"/>
      <c r="O42" s="12"/>
      <c r="P42" s="12"/>
      <c r="Q42" s="2"/>
    </row>
    <row r="43" spans="1:17" hidden="1" x14ac:dyDescent="0.25">
      <c r="A43" s="11">
        <v>36</v>
      </c>
      <c r="B43" s="38" t="s">
        <v>225</v>
      </c>
      <c r="C43" s="2">
        <v>6885</v>
      </c>
      <c r="D43" s="2">
        <v>3583</v>
      </c>
      <c r="E43" s="2">
        <v>3485</v>
      </c>
      <c r="F43" s="2">
        <v>48</v>
      </c>
      <c r="G43" s="12">
        <v>23000</v>
      </c>
      <c r="H43" s="12">
        <v>6700</v>
      </c>
      <c r="I43" s="2">
        <v>162</v>
      </c>
      <c r="J43" s="2">
        <v>3694</v>
      </c>
      <c r="K43" s="2">
        <v>2632</v>
      </c>
      <c r="L43" s="12">
        <v>1226</v>
      </c>
      <c r="M43" s="12">
        <v>1257</v>
      </c>
      <c r="N43" s="2">
        <v>317</v>
      </c>
      <c r="O43" s="12">
        <v>100</v>
      </c>
      <c r="P43" s="12">
        <v>8</v>
      </c>
      <c r="Q43" s="2">
        <v>17</v>
      </c>
    </row>
    <row r="44" spans="1:17" hidden="1" x14ac:dyDescent="0.25">
      <c r="A44" s="11">
        <v>28</v>
      </c>
      <c r="B44" s="107" t="s">
        <v>389</v>
      </c>
      <c r="C44" s="2">
        <v>1702</v>
      </c>
      <c r="D44" s="2">
        <v>569</v>
      </c>
      <c r="E44" s="2">
        <v>1551</v>
      </c>
      <c r="F44" s="2">
        <v>65</v>
      </c>
      <c r="G44" s="12">
        <v>18000</v>
      </c>
      <c r="H44" s="12">
        <v>5400</v>
      </c>
      <c r="I44" s="2"/>
      <c r="J44" s="2"/>
      <c r="K44" s="2">
        <v>791</v>
      </c>
      <c r="L44" s="2">
        <v>116</v>
      </c>
      <c r="M44" s="2">
        <v>558</v>
      </c>
      <c r="N44" s="2">
        <v>322</v>
      </c>
      <c r="O44" s="12">
        <v>102</v>
      </c>
      <c r="P44" s="12">
        <v>8</v>
      </c>
      <c r="Q44" s="2">
        <v>14</v>
      </c>
    </row>
    <row r="45" spans="1:17" hidden="1" x14ac:dyDescent="0.25">
      <c r="A45" s="11">
        <v>23</v>
      </c>
      <c r="B45" s="37" t="s">
        <v>27</v>
      </c>
      <c r="C45" s="2">
        <v>67</v>
      </c>
      <c r="D45" s="2">
        <v>19</v>
      </c>
      <c r="E45" s="2">
        <v>91</v>
      </c>
      <c r="F45" s="2"/>
      <c r="G45" s="12">
        <v>106600</v>
      </c>
      <c r="H45" s="12">
        <v>7200</v>
      </c>
      <c r="I45" s="2"/>
      <c r="J45" s="2"/>
      <c r="K45" s="2">
        <v>42</v>
      </c>
      <c r="L45" s="2">
        <v>8</v>
      </c>
      <c r="M45" s="2">
        <v>51</v>
      </c>
      <c r="N45" s="2">
        <v>325</v>
      </c>
      <c r="O45" s="12">
        <v>95</v>
      </c>
      <c r="P45" s="12">
        <v>9</v>
      </c>
      <c r="Q45" s="2">
        <v>15</v>
      </c>
    </row>
    <row r="48" spans="1:17" x14ac:dyDescent="0.25">
      <c r="B48" s="31" t="s">
        <v>894</v>
      </c>
      <c r="C48" s="31">
        <f>ROUND(AVERAGE(C2:C45), 2)</f>
        <v>1577.27</v>
      </c>
      <c r="D48" s="31">
        <f t="shared" ref="D48:Q48" si="0">ROUND(AVERAGE(D2:D45), 2)</f>
        <v>482.39</v>
      </c>
      <c r="E48" s="31">
        <f t="shared" si="0"/>
        <v>2159.6999999999998</v>
      </c>
      <c r="F48" s="31">
        <f t="shared" si="0"/>
        <v>26.21</v>
      </c>
      <c r="G48" s="31">
        <f t="shared" si="0"/>
        <v>35993.18</v>
      </c>
      <c r="H48" s="31">
        <f t="shared" si="0"/>
        <v>6925</v>
      </c>
      <c r="I48" s="31">
        <f t="shared" si="0"/>
        <v>163.63999999999999</v>
      </c>
      <c r="J48" s="31">
        <f t="shared" si="0"/>
        <v>2067.7399999999998</v>
      </c>
      <c r="K48" s="31">
        <f t="shared" si="0"/>
        <v>583.09</v>
      </c>
      <c r="L48" s="31">
        <f t="shared" si="0"/>
        <v>120.32</v>
      </c>
      <c r="M48" s="31">
        <f t="shared" si="0"/>
        <v>784.84</v>
      </c>
      <c r="N48" s="31">
        <f t="shared" si="0"/>
        <v>321.06</v>
      </c>
      <c r="O48" s="31">
        <f t="shared" si="0"/>
        <v>102.39</v>
      </c>
      <c r="P48" s="31">
        <f t="shared" si="0"/>
        <v>8.64</v>
      </c>
      <c r="Q48" s="31">
        <f t="shared" si="0"/>
        <v>16.329999999999998</v>
      </c>
    </row>
  </sheetData>
  <autoFilter ref="A1:Q45" xr:uid="{8DE8F408-EFC7-49B1-9477-788FC1841393}">
    <filterColumn colId="1">
      <filters>
        <filter val="Carnegie Mellon University"/>
        <filter val="Cornell University"/>
        <filter val="Georgia Institute of Technology"/>
        <filter val="University of California - Los Angeles"/>
        <filter val="University of California - San Diego"/>
        <filter val="University of Maryland - College Park"/>
        <filter val="University of Southern California"/>
      </filters>
    </filterColumn>
  </autoFilter>
  <sortState ref="A2:Q45">
    <sortCondition ref="F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D204"/>
  <sheetViews>
    <sheetView topLeftCell="A144" workbookViewId="0">
      <selection activeCell="C101" sqref="C101"/>
    </sheetView>
  </sheetViews>
  <sheetFormatPr defaultRowHeight="15" x14ac:dyDescent="0.25"/>
  <cols>
    <col min="2" max="2" width="34.28515625" bestFit="1" customWidth="1"/>
    <col min="3" max="3" width="88.28515625" style="14" bestFit="1" customWidth="1"/>
    <col min="4" max="4" width="48.28515625" bestFit="1" customWidth="1"/>
    <col min="5" max="5" width="46.5703125" customWidth="1"/>
    <col min="6" max="6" width="75" customWidth="1"/>
    <col min="7" max="7" width="63.28515625" customWidth="1"/>
  </cols>
  <sheetData>
    <row r="1" spans="1:4" x14ac:dyDescent="0.25">
      <c r="A1" s="44" t="s">
        <v>0</v>
      </c>
      <c r="B1" s="44" t="s">
        <v>345</v>
      </c>
      <c r="C1" s="50" t="s">
        <v>33</v>
      </c>
      <c r="D1" s="50" t="s">
        <v>770</v>
      </c>
    </row>
    <row r="48" spans="2:4" x14ac:dyDescent="0.25">
      <c r="B48" s="38" t="s">
        <v>201</v>
      </c>
      <c r="C48" s="5" t="s">
        <v>878</v>
      </c>
      <c r="D48" s="2"/>
    </row>
    <row r="49" spans="2:4" x14ac:dyDescent="0.25">
      <c r="B49" s="2" t="s">
        <v>431</v>
      </c>
      <c r="C49" s="5" t="s">
        <v>875</v>
      </c>
      <c r="D49" s="2"/>
    </row>
    <row r="50" spans="2:4" x14ac:dyDescent="0.25">
      <c r="B50" s="109" t="s">
        <v>383</v>
      </c>
      <c r="C50" s="5" t="s">
        <v>871</v>
      </c>
      <c r="D50" s="2"/>
    </row>
    <row r="51" spans="2:4" x14ac:dyDescent="0.25">
      <c r="B51" s="109"/>
      <c r="C51" s="5" t="s">
        <v>872</v>
      </c>
      <c r="D51" s="2"/>
    </row>
    <row r="52" spans="2:4" x14ac:dyDescent="0.25">
      <c r="B52" s="123" t="s">
        <v>357</v>
      </c>
      <c r="C52" s="5" t="s">
        <v>865</v>
      </c>
      <c r="D52" s="2"/>
    </row>
    <row r="53" spans="2:4" x14ac:dyDescent="0.25">
      <c r="B53" s="124"/>
      <c r="C53" s="5" t="s">
        <v>866</v>
      </c>
      <c r="D53" s="2"/>
    </row>
    <row r="54" spans="2:4" x14ac:dyDescent="0.25">
      <c r="B54" s="125"/>
      <c r="C54" s="5" t="s">
        <v>867</v>
      </c>
      <c r="D54" s="2"/>
    </row>
    <row r="55" spans="2:4" x14ac:dyDescent="0.25">
      <c r="B55" s="109" t="s">
        <v>351</v>
      </c>
      <c r="C55" s="5" t="s">
        <v>856</v>
      </c>
      <c r="D55" s="2"/>
    </row>
    <row r="56" spans="2:4" x14ac:dyDescent="0.25">
      <c r="B56" s="109"/>
      <c r="C56" s="5" t="s">
        <v>857</v>
      </c>
      <c r="D56" s="2"/>
    </row>
    <row r="57" spans="2:4" x14ac:dyDescent="0.25">
      <c r="B57" s="109"/>
      <c r="C57" s="5" t="s">
        <v>858</v>
      </c>
      <c r="D57" s="2"/>
    </row>
    <row r="58" spans="2:4" x14ac:dyDescent="0.25">
      <c r="B58" s="109"/>
      <c r="C58" s="5" t="s">
        <v>859</v>
      </c>
      <c r="D58" s="2"/>
    </row>
    <row r="59" spans="2:4" x14ac:dyDescent="0.25">
      <c r="B59" s="109" t="s">
        <v>389</v>
      </c>
      <c r="C59" s="5" t="s">
        <v>851</v>
      </c>
      <c r="D59" s="2"/>
    </row>
    <row r="60" spans="2:4" x14ac:dyDescent="0.25">
      <c r="B60" s="109"/>
      <c r="C60" s="5" t="s">
        <v>855</v>
      </c>
      <c r="D60" s="2"/>
    </row>
    <row r="61" spans="2:4" x14ac:dyDescent="0.25">
      <c r="B61" s="115" t="s">
        <v>824</v>
      </c>
      <c r="C61" s="5" t="s">
        <v>822</v>
      </c>
      <c r="D61" s="2"/>
    </row>
    <row r="62" spans="2:4" x14ac:dyDescent="0.25">
      <c r="B62" s="115"/>
      <c r="C62" s="5" t="s">
        <v>825</v>
      </c>
      <c r="D62" s="2"/>
    </row>
    <row r="63" spans="2:4" x14ac:dyDescent="0.25">
      <c r="B63" s="115" t="s">
        <v>225</v>
      </c>
      <c r="C63" s="5" t="s">
        <v>826</v>
      </c>
      <c r="D63" s="2"/>
    </row>
    <row r="64" spans="2:4" x14ac:dyDescent="0.25">
      <c r="B64" s="115"/>
      <c r="C64" s="5" t="s">
        <v>823</v>
      </c>
      <c r="D64" s="2"/>
    </row>
    <row r="65" spans="2:4" x14ac:dyDescent="0.25">
      <c r="B65" s="109" t="s">
        <v>400</v>
      </c>
      <c r="C65" s="5" t="s">
        <v>820</v>
      </c>
      <c r="D65" s="2"/>
    </row>
    <row r="66" spans="2:4" x14ac:dyDescent="0.25">
      <c r="B66" s="109"/>
      <c r="C66" s="5" t="s">
        <v>821</v>
      </c>
      <c r="D66" s="2"/>
    </row>
    <row r="67" spans="2:4" x14ac:dyDescent="0.25">
      <c r="B67" s="109" t="s">
        <v>382</v>
      </c>
      <c r="C67" s="5" t="s">
        <v>817</v>
      </c>
      <c r="D67" s="2"/>
    </row>
    <row r="68" spans="2:4" x14ac:dyDescent="0.25">
      <c r="B68" s="109"/>
      <c r="C68" s="5" t="s">
        <v>819</v>
      </c>
      <c r="D68" s="2"/>
    </row>
    <row r="69" spans="2:4" x14ac:dyDescent="0.25">
      <c r="B69" s="109"/>
      <c r="C69" s="5" t="s">
        <v>818</v>
      </c>
      <c r="D69" s="2"/>
    </row>
    <row r="70" spans="2:4" x14ac:dyDescent="0.25">
      <c r="B70" s="109" t="s">
        <v>402</v>
      </c>
      <c r="C70" s="5" t="s">
        <v>809</v>
      </c>
      <c r="D70" s="2"/>
    </row>
    <row r="71" spans="2:4" x14ac:dyDescent="0.25">
      <c r="B71" s="109"/>
      <c r="C71" s="5" t="s">
        <v>810</v>
      </c>
      <c r="D71" s="2"/>
    </row>
    <row r="72" spans="2:4" x14ac:dyDescent="0.25">
      <c r="B72" s="109"/>
      <c r="C72" s="5" t="s">
        <v>811</v>
      </c>
      <c r="D72" s="2"/>
    </row>
    <row r="73" spans="2:4" x14ac:dyDescent="0.25">
      <c r="B73" s="109"/>
      <c r="C73" s="5" t="s">
        <v>812</v>
      </c>
      <c r="D73" s="2"/>
    </row>
    <row r="74" spans="2:4" x14ac:dyDescent="0.25">
      <c r="B74" s="109"/>
      <c r="C74" s="5" t="s">
        <v>816</v>
      </c>
      <c r="D74" s="2"/>
    </row>
    <row r="75" spans="2:4" x14ac:dyDescent="0.25">
      <c r="B75" s="113" t="s">
        <v>417</v>
      </c>
      <c r="C75" s="5" t="s">
        <v>800</v>
      </c>
      <c r="D75" s="2"/>
    </row>
    <row r="76" spans="2:4" x14ac:dyDescent="0.25">
      <c r="B76" s="113"/>
      <c r="C76" s="5" t="s">
        <v>805</v>
      </c>
      <c r="D76" s="2"/>
    </row>
    <row r="77" spans="2:4" x14ac:dyDescent="0.25">
      <c r="B77" s="113"/>
      <c r="C77" s="5" t="s">
        <v>806</v>
      </c>
      <c r="D77" s="2"/>
    </row>
    <row r="78" spans="2:4" x14ac:dyDescent="0.25">
      <c r="B78" s="113"/>
      <c r="C78" s="5" t="s">
        <v>807</v>
      </c>
      <c r="D78" s="2"/>
    </row>
    <row r="79" spans="2:4" ht="30" x14ac:dyDescent="0.25">
      <c r="B79" s="113"/>
      <c r="C79" s="5" t="s">
        <v>808</v>
      </c>
      <c r="D79" s="2"/>
    </row>
    <row r="80" spans="2:4" ht="30" x14ac:dyDescent="0.25">
      <c r="B80" s="109" t="s">
        <v>16</v>
      </c>
      <c r="C80" s="5" t="s">
        <v>799</v>
      </c>
      <c r="D80" s="2"/>
    </row>
    <row r="81" spans="2:4" x14ac:dyDescent="0.25">
      <c r="B81" s="109"/>
      <c r="C81" s="5" t="s">
        <v>800</v>
      </c>
      <c r="D81" s="2"/>
    </row>
    <row r="82" spans="2:4" x14ac:dyDescent="0.25">
      <c r="B82" s="110" t="s">
        <v>50</v>
      </c>
      <c r="C82" s="5" t="s">
        <v>794</v>
      </c>
      <c r="D82" s="2"/>
    </row>
    <row r="83" spans="2:4" x14ac:dyDescent="0.25">
      <c r="B83" s="111"/>
      <c r="C83" s="5" t="s">
        <v>795</v>
      </c>
      <c r="D83" s="2"/>
    </row>
    <row r="84" spans="2:4" x14ac:dyDescent="0.25">
      <c r="B84" s="111"/>
      <c r="C84" s="5" t="s">
        <v>796</v>
      </c>
      <c r="D84" s="2"/>
    </row>
    <row r="85" spans="2:4" x14ac:dyDescent="0.25">
      <c r="B85" s="111"/>
      <c r="C85" s="5" t="s">
        <v>797</v>
      </c>
      <c r="D85" s="2"/>
    </row>
    <row r="86" spans="2:4" x14ac:dyDescent="0.25">
      <c r="B86" s="112"/>
      <c r="C86" s="5" t="s">
        <v>798</v>
      </c>
      <c r="D86" s="2"/>
    </row>
    <row r="87" spans="2:4" x14ac:dyDescent="0.25">
      <c r="B87" s="113" t="s">
        <v>44</v>
      </c>
      <c r="C87" s="5" t="s">
        <v>787</v>
      </c>
      <c r="D87" s="2"/>
    </row>
    <row r="88" spans="2:4" x14ac:dyDescent="0.25">
      <c r="B88" s="113"/>
      <c r="C88" s="5" t="s">
        <v>788</v>
      </c>
      <c r="D88" s="2"/>
    </row>
    <row r="89" spans="2:4" x14ac:dyDescent="0.25">
      <c r="B89" s="113"/>
      <c r="C89" s="5" t="s">
        <v>789</v>
      </c>
      <c r="D89" s="2"/>
    </row>
    <row r="90" spans="2:4" x14ac:dyDescent="0.25">
      <c r="B90" s="113"/>
      <c r="C90" s="5" t="s">
        <v>790</v>
      </c>
      <c r="D90" s="2"/>
    </row>
    <row r="91" spans="2:4" x14ac:dyDescent="0.25">
      <c r="B91" s="113"/>
      <c r="C91" s="5" t="s">
        <v>791</v>
      </c>
      <c r="D91" s="2"/>
    </row>
    <row r="92" spans="2:4" x14ac:dyDescent="0.25">
      <c r="B92" s="113"/>
      <c r="C92" s="5" t="s">
        <v>792</v>
      </c>
      <c r="D92" s="2"/>
    </row>
    <row r="93" spans="2:4" x14ac:dyDescent="0.25">
      <c r="B93" s="113"/>
      <c r="C93" s="5" t="s">
        <v>793</v>
      </c>
      <c r="D93" s="2"/>
    </row>
    <row r="94" spans="2:4" x14ac:dyDescent="0.25">
      <c r="B94" s="123" t="s">
        <v>390</v>
      </c>
      <c r="C94" s="5" t="s">
        <v>782</v>
      </c>
      <c r="D94" s="2"/>
    </row>
    <row r="95" spans="2:4" x14ac:dyDescent="0.25">
      <c r="B95" s="125"/>
      <c r="C95" s="5" t="s">
        <v>797</v>
      </c>
      <c r="D95" s="2"/>
    </row>
    <row r="96" spans="2:4" x14ac:dyDescent="0.25">
      <c r="B96" s="2" t="s">
        <v>11</v>
      </c>
      <c r="C96" s="5" t="s">
        <v>781</v>
      </c>
      <c r="D96" s="2"/>
    </row>
    <row r="97" spans="2:4" x14ac:dyDescent="0.25">
      <c r="B97" s="123" t="s">
        <v>379</v>
      </c>
      <c r="C97" s="5" t="s">
        <v>742</v>
      </c>
      <c r="D97" s="2"/>
    </row>
    <row r="98" spans="2:4" x14ac:dyDescent="0.25">
      <c r="B98" s="124"/>
      <c r="C98" s="5" t="s">
        <v>777</v>
      </c>
      <c r="D98" s="2"/>
    </row>
    <row r="99" spans="2:4" x14ac:dyDescent="0.25">
      <c r="B99" s="124"/>
      <c r="C99" s="5" t="s">
        <v>778</v>
      </c>
      <c r="D99" s="2"/>
    </row>
    <row r="100" spans="2:4" x14ac:dyDescent="0.25">
      <c r="B100" s="124"/>
      <c r="C100" s="5" t="s">
        <v>779</v>
      </c>
      <c r="D100" s="2"/>
    </row>
    <row r="101" spans="2:4" x14ac:dyDescent="0.25">
      <c r="B101" s="125"/>
      <c r="C101" s="5" t="s">
        <v>669</v>
      </c>
      <c r="D101" s="2"/>
    </row>
    <row r="102" spans="2:4" x14ac:dyDescent="0.25">
      <c r="B102" s="109" t="s">
        <v>375</v>
      </c>
      <c r="C102" s="5" t="s">
        <v>768</v>
      </c>
      <c r="D102" s="2" t="s">
        <v>771</v>
      </c>
    </row>
    <row r="103" spans="2:4" x14ac:dyDescent="0.25">
      <c r="B103" s="109"/>
      <c r="C103" s="5" t="s">
        <v>769</v>
      </c>
      <c r="D103" s="2"/>
    </row>
    <row r="104" spans="2:4" x14ac:dyDescent="0.25">
      <c r="B104" s="109"/>
      <c r="C104" s="5" t="s">
        <v>773</v>
      </c>
      <c r="D104" s="2"/>
    </row>
    <row r="105" spans="2:4" x14ac:dyDescent="0.25">
      <c r="B105" s="109"/>
      <c r="C105" s="5" t="s">
        <v>775</v>
      </c>
      <c r="D105" s="2"/>
    </row>
    <row r="106" spans="2:4" x14ac:dyDescent="0.25">
      <c r="B106" s="109"/>
      <c r="C106" s="5" t="s">
        <v>776</v>
      </c>
      <c r="D106" s="2"/>
    </row>
    <row r="107" spans="2:4" x14ac:dyDescent="0.25">
      <c r="B107" s="38" t="s">
        <v>7</v>
      </c>
      <c r="C107" s="5" t="s">
        <v>767</v>
      </c>
      <c r="D107" s="2"/>
    </row>
    <row r="108" spans="2:4" x14ac:dyDescent="0.25">
      <c r="B108" s="109" t="s">
        <v>373</v>
      </c>
      <c r="C108" s="5" t="s">
        <v>759</v>
      </c>
      <c r="D108" s="2"/>
    </row>
    <row r="109" spans="2:4" x14ac:dyDescent="0.25">
      <c r="B109" s="109"/>
      <c r="C109" s="5" t="s">
        <v>761</v>
      </c>
      <c r="D109" s="2"/>
    </row>
    <row r="110" spans="2:4" x14ac:dyDescent="0.25">
      <c r="B110" s="109"/>
      <c r="C110" s="5" t="s">
        <v>760</v>
      </c>
      <c r="D110" s="2"/>
    </row>
    <row r="111" spans="2:4" x14ac:dyDescent="0.25">
      <c r="B111" s="109"/>
      <c r="C111" s="5" t="s">
        <v>762</v>
      </c>
      <c r="D111" s="2"/>
    </row>
    <row r="112" spans="2:4" x14ac:dyDescent="0.25">
      <c r="B112" s="109"/>
      <c r="C112" s="5" t="s">
        <v>763</v>
      </c>
      <c r="D112" s="2"/>
    </row>
    <row r="113" spans="2:4" x14ac:dyDescent="0.25">
      <c r="B113" s="109"/>
      <c r="C113" s="5" t="s">
        <v>764</v>
      </c>
      <c r="D113" s="2"/>
    </row>
    <row r="114" spans="2:4" x14ac:dyDescent="0.25">
      <c r="B114" s="109"/>
      <c r="C114" s="5" t="s">
        <v>765</v>
      </c>
      <c r="D114" s="2"/>
    </row>
    <row r="115" spans="2:4" x14ac:dyDescent="0.25">
      <c r="B115" s="109"/>
      <c r="C115" s="5" t="s">
        <v>766</v>
      </c>
      <c r="D115" s="2"/>
    </row>
    <row r="116" spans="2:4" x14ac:dyDescent="0.25">
      <c r="B116" s="37" t="s">
        <v>108</v>
      </c>
      <c r="C116" s="5" t="s">
        <v>742</v>
      </c>
      <c r="D116" s="2"/>
    </row>
    <row r="117" spans="2:4" ht="30" x14ac:dyDescent="0.25">
      <c r="B117" s="2" t="s">
        <v>407</v>
      </c>
      <c r="C117" s="5" t="s">
        <v>750</v>
      </c>
      <c r="D117" s="2"/>
    </row>
    <row r="118" spans="2:4" x14ac:dyDescent="0.25">
      <c r="B118" s="120" t="s">
        <v>110</v>
      </c>
      <c r="C118" s="5" t="s">
        <v>744</v>
      </c>
      <c r="D118" s="2"/>
    </row>
    <row r="119" spans="2:4" x14ac:dyDescent="0.25">
      <c r="B119" s="121"/>
      <c r="C119" s="5" t="s">
        <v>745</v>
      </c>
      <c r="D119" s="2"/>
    </row>
    <row r="120" spans="2:4" x14ac:dyDescent="0.25">
      <c r="B120" s="121"/>
      <c r="C120" s="5" t="s">
        <v>746</v>
      </c>
      <c r="D120" s="2"/>
    </row>
    <row r="121" spans="2:4" ht="30" x14ac:dyDescent="0.25">
      <c r="B121" s="121"/>
      <c r="C121" s="5" t="s">
        <v>747</v>
      </c>
      <c r="D121" s="2"/>
    </row>
    <row r="122" spans="2:4" ht="30" x14ac:dyDescent="0.25">
      <c r="B122" s="121"/>
      <c r="C122" s="5" t="s">
        <v>748</v>
      </c>
      <c r="D122" s="2"/>
    </row>
    <row r="123" spans="2:4" x14ac:dyDescent="0.25">
      <c r="B123" s="121"/>
      <c r="C123" s="5" t="s">
        <v>749</v>
      </c>
      <c r="D123" s="2"/>
    </row>
    <row r="124" spans="2:4" x14ac:dyDescent="0.25">
      <c r="B124" s="122"/>
      <c r="C124" s="5" t="s">
        <v>850</v>
      </c>
      <c r="D124" s="2"/>
    </row>
    <row r="125" spans="2:4" x14ac:dyDescent="0.25">
      <c r="B125" s="109" t="s">
        <v>397</v>
      </c>
      <c r="C125" s="5" t="s">
        <v>736</v>
      </c>
      <c r="D125" s="2"/>
    </row>
    <row r="126" spans="2:4" x14ac:dyDescent="0.25">
      <c r="B126" s="109"/>
      <c r="C126" s="5" t="s">
        <v>737</v>
      </c>
      <c r="D126" s="2"/>
    </row>
    <row r="127" spans="2:4" x14ac:dyDescent="0.25">
      <c r="B127" s="109"/>
      <c r="C127" s="5" t="s">
        <v>738</v>
      </c>
      <c r="D127" s="2"/>
    </row>
    <row r="128" spans="2:4" x14ac:dyDescent="0.25">
      <c r="B128" s="109"/>
      <c r="C128" s="5" t="s">
        <v>740</v>
      </c>
      <c r="D128" s="2"/>
    </row>
    <row r="129" spans="2:4" x14ac:dyDescent="0.25">
      <c r="B129" s="109"/>
      <c r="C129" s="5" t="s">
        <v>742</v>
      </c>
      <c r="D129" s="2"/>
    </row>
    <row r="130" spans="2:4" x14ac:dyDescent="0.25">
      <c r="B130" s="109"/>
      <c r="C130" s="5" t="s">
        <v>743</v>
      </c>
      <c r="D130" s="2"/>
    </row>
    <row r="131" spans="2:4" x14ac:dyDescent="0.25">
      <c r="B131" s="109" t="s">
        <v>112</v>
      </c>
      <c r="C131" s="5" t="s">
        <v>733</v>
      </c>
      <c r="D131" s="2"/>
    </row>
    <row r="132" spans="2:4" x14ac:dyDescent="0.25">
      <c r="B132" s="109"/>
      <c r="C132" s="5" t="s">
        <v>735</v>
      </c>
      <c r="D132" s="2"/>
    </row>
    <row r="133" spans="2:4" x14ac:dyDescent="0.25">
      <c r="B133" s="49" t="s">
        <v>731</v>
      </c>
      <c r="C133" s="5" t="s">
        <v>732</v>
      </c>
      <c r="D133" s="2"/>
    </row>
    <row r="134" spans="2:4" x14ac:dyDescent="0.25">
      <c r="B134" s="109" t="s">
        <v>79</v>
      </c>
      <c r="C134" s="5" t="s">
        <v>720</v>
      </c>
      <c r="D134" s="2"/>
    </row>
    <row r="135" spans="2:4" x14ac:dyDescent="0.25">
      <c r="B135" s="109"/>
      <c r="C135" s="5" t="s">
        <v>721</v>
      </c>
      <c r="D135" s="2"/>
    </row>
    <row r="136" spans="2:4" x14ac:dyDescent="0.25">
      <c r="B136" s="109"/>
      <c r="C136" s="5" t="s">
        <v>722</v>
      </c>
      <c r="D136" s="2"/>
    </row>
    <row r="137" spans="2:4" x14ac:dyDescent="0.25">
      <c r="B137" s="109"/>
      <c r="C137" s="5" t="s">
        <v>723</v>
      </c>
      <c r="D137" s="2"/>
    </row>
    <row r="138" spans="2:4" x14ac:dyDescent="0.25">
      <c r="B138" s="109"/>
      <c r="C138" s="5" t="s">
        <v>724</v>
      </c>
      <c r="D138" s="2"/>
    </row>
    <row r="139" spans="2:4" x14ac:dyDescent="0.25">
      <c r="B139" s="109"/>
      <c r="C139" s="5" t="s">
        <v>726</v>
      </c>
      <c r="D139" s="2"/>
    </row>
    <row r="140" spans="2:4" x14ac:dyDescent="0.25">
      <c r="B140" s="109"/>
      <c r="C140" s="5" t="s">
        <v>727</v>
      </c>
      <c r="D140" s="2"/>
    </row>
    <row r="141" spans="2:4" x14ac:dyDescent="0.25">
      <c r="B141" s="109"/>
      <c r="C141" s="5" t="s">
        <v>728</v>
      </c>
      <c r="D141" s="2"/>
    </row>
    <row r="142" spans="2:4" x14ac:dyDescent="0.25">
      <c r="B142" s="109"/>
      <c r="C142" s="5" t="s">
        <v>729</v>
      </c>
      <c r="D142" s="2"/>
    </row>
    <row r="143" spans="2:4" x14ac:dyDescent="0.25">
      <c r="B143" s="109"/>
      <c r="C143" s="5" t="s">
        <v>730</v>
      </c>
      <c r="D143" s="2"/>
    </row>
    <row r="144" spans="2:4" x14ac:dyDescent="0.25">
      <c r="B144" s="109" t="s">
        <v>407</v>
      </c>
      <c r="C144" s="5" t="s">
        <v>717</v>
      </c>
      <c r="D144" s="2"/>
    </row>
    <row r="145" spans="2:4" x14ac:dyDescent="0.25">
      <c r="B145" s="109"/>
      <c r="C145" s="5" t="s">
        <v>718</v>
      </c>
      <c r="D145" s="2"/>
    </row>
    <row r="146" spans="2:4" x14ac:dyDescent="0.25">
      <c r="B146" s="109"/>
      <c r="C146" s="5" t="s">
        <v>719</v>
      </c>
      <c r="D146" s="2"/>
    </row>
    <row r="147" spans="2:4" x14ac:dyDescent="0.25">
      <c r="B147" s="2" t="s">
        <v>420</v>
      </c>
      <c r="C147" s="5" t="s">
        <v>716</v>
      </c>
      <c r="D147" s="2"/>
    </row>
    <row r="148" spans="2:4" x14ac:dyDescent="0.25">
      <c r="B148" s="115" t="s">
        <v>378</v>
      </c>
      <c r="C148" s="5" t="s">
        <v>706</v>
      </c>
      <c r="D148" s="2"/>
    </row>
    <row r="149" spans="2:4" x14ac:dyDescent="0.25">
      <c r="B149" s="115"/>
      <c r="C149" s="5" t="s">
        <v>711</v>
      </c>
      <c r="D149" s="2"/>
    </row>
    <row r="150" spans="2:4" x14ac:dyDescent="0.25">
      <c r="B150" s="115"/>
      <c r="C150" s="5" t="s">
        <v>707</v>
      </c>
      <c r="D150" s="2"/>
    </row>
    <row r="151" spans="2:4" x14ac:dyDescent="0.25">
      <c r="B151" s="115"/>
      <c r="C151" s="5" t="s">
        <v>708</v>
      </c>
      <c r="D151" s="2"/>
    </row>
    <row r="152" spans="2:4" x14ac:dyDescent="0.25">
      <c r="B152" s="115"/>
      <c r="C152" s="5" t="s">
        <v>709</v>
      </c>
      <c r="D152" s="2"/>
    </row>
    <row r="153" spans="2:4" x14ac:dyDescent="0.25">
      <c r="B153" s="115"/>
      <c r="C153" s="5" t="s">
        <v>710</v>
      </c>
      <c r="D153" s="2"/>
    </row>
    <row r="154" spans="2:4" x14ac:dyDescent="0.25">
      <c r="B154" s="114" t="s">
        <v>117</v>
      </c>
      <c r="C154" s="5" t="s">
        <v>702</v>
      </c>
      <c r="D154" s="2"/>
    </row>
    <row r="155" spans="2:4" x14ac:dyDescent="0.25">
      <c r="B155" s="114"/>
      <c r="C155" s="5" t="s">
        <v>703</v>
      </c>
      <c r="D155" s="2"/>
    </row>
    <row r="156" spans="2:4" x14ac:dyDescent="0.25">
      <c r="B156" s="114"/>
      <c r="C156" s="5" t="s">
        <v>704</v>
      </c>
      <c r="D156" s="2"/>
    </row>
    <row r="157" spans="2:4" x14ac:dyDescent="0.25">
      <c r="B157" s="109" t="s">
        <v>118</v>
      </c>
      <c r="C157" s="5" t="s">
        <v>692</v>
      </c>
      <c r="D157" s="2"/>
    </row>
    <row r="158" spans="2:4" x14ac:dyDescent="0.25">
      <c r="B158" s="109"/>
      <c r="C158" s="5" t="s">
        <v>693</v>
      </c>
      <c r="D158" s="2"/>
    </row>
    <row r="159" spans="2:4" x14ac:dyDescent="0.25">
      <c r="B159" s="109"/>
      <c r="C159" s="5" t="s">
        <v>694</v>
      </c>
      <c r="D159" s="2"/>
    </row>
    <row r="160" spans="2:4" x14ac:dyDescent="0.25">
      <c r="B160" s="109"/>
      <c r="C160" s="5" t="s">
        <v>695</v>
      </c>
      <c r="D160" s="2"/>
    </row>
    <row r="161" spans="2:4" x14ac:dyDescent="0.25">
      <c r="B161" s="109"/>
      <c r="C161" s="5" t="s">
        <v>696</v>
      </c>
      <c r="D161" s="2"/>
    </row>
    <row r="162" spans="2:4" x14ac:dyDescent="0.25">
      <c r="B162" s="109"/>
      <c r="C162" s="5" t="s">
        <v>697</v>
      </c>
      <c r="D162" s="2"/>
    </row>
    <row r="163" spans="2:4" x14ac:dyDescent="0.25">
      <c r="B163" s="109"/>
      <c r="C163" s="5" t="s">
        <v>698</v>
      </c>
      <c r="D163" s="2"/>
    </row>
    <row r="164" spans="2:4" x14ac:dyDescent="0.25">
      <c r="B164" s="109"/>
      <c r="C164" s="5" t="s">
        <v>699</v>
      </c>
      <c r="D164" s="2"/>
    </row>
    <row r="165" spans="2:4" ht="45" x14ac:dyDescent="0.25">
      <c r="B165" s="109"/>
      <c r="C165" s="5" t="s">
        <v>700</v>
      </c>
      <c r="D165" s="2"/>
    </row>
    <row r="166" spans="2:4" x14ac:dyDescent="0.25">
      <c r="B166" s="116" t="s">
        <v>119</v>
      </c>
      <c r="C166" s="5" t="s">
        <v>689</v>
      </c>
      <c r="D166" s="2"/>
    </row>
    <row r="167" spans="2:4" x14ac:dyDescent="0.25">
      <c r="B167" s="116"/>
      <c r="C167" s="5" t="s">
        <v>691</v>
      </c>
      <c r="D167" s="2"/>
    </row>
    <row r="168" spans="2:4" x14ac:dyDescent="0.25">
      <c r="B168" s="118" t="s">
        <v>120</v>
      </c>
      <c r="C168" s="5" t="s">
        <v>685</v>
      </c>
      <c r="D168" s="2"/>
    </row>
    <row r="169" spans="2:4" x14ac:dyDescent="0.25">
      <c r="B169" s="118"/>
      <c r="C169" s="5" t="s">
        <v>686</v>
      </c>
      <c r="D169" s="2"/>
    </row>
    <row r="170" spans="2:4" x14ac:dyDescent="0.25">
      <c r="B170" s="118"/>
      <c r="C170" s="5" t="s">
        <v>687</v>
      </c>
      <c r="D170" s="2"/>
    </row>
    <row r="171" spans="2:4" x14ac:dyDescent="0.25">
      <c r="B171" s="118"/>
      <c r="C171" s="5" t="s">
        <v>688</v>
      </c>
      <c r="D171" s="2"/>
    </row>
    <row r="172" spans="2:4" x14ac:dyDescent="0.25">
      <c r="B172" s="109" t="s">
        <v>121</v>
      </c>
      <c r="C172" s="5" t="s">
        <v>682</v>
      </c>
      <c r="D172" s="2"/>
    </row>
    <row r="173" spans="2:4" x14ac:dyDescent="0.25">
      <c r="B173" s="109"/>
      <c r="C173" s="5" t="s">
        <v>683</v>
      </c>
      <c r="D173" s="2"/>
    </row>
    <row r="174" spans="2:4" x14ac:dyDescent="0.25">
      <c r="B174" s="116" t="s">
        <v>122</v>
      </c>
      <c r="C174" s="5" t="s">
        <v>674</v>
      </c>
      <c r="D174" s="2"/>
    </row>
    <row r="175" spans="2:4" x14ac:dyDescent="0.25">
      <c r="B175" s="116"/>
      <c r="C175" s="5" t="s">
        <v>675</v>
      </c>
      <c r="D175" s="2"/>
    </row>
    <row r="176" spans="2:4" x14ac:dyDescent="0.25">
      <c r="B176" s="116"/>
      <c r="C176" s="5" t="s">
        <v>676</v>
      </c>
      <c r="D176" s="2"/>
    </row>
    <row r="177" spans="2:4" x14ac:dyDescent="0.25">
      <c r="B177" s="116"/>
      <c r="C177" s="5" t="s">
        <v>677</v>
      </c>
      <c r="D177" s="2"/>
    </row>
    <row r="178" spans="2:4" x14ac:dyDescent="0.25">
      <c r="B178" s="116"/>
      <c r="C178" s="5" t="s">
        <v>679</v>
      </c>
      <c r="D178" s="2"/>
    </row>
    <row r="179" spans="2:4" x14ac:dyDescent="0.25">
      <c r="B179" s="116"/>
      <c r="C179" s="5" t="s">
        <v>680</v>
      </c>
      <c r="D179" s="2"/>
    </row>
    <row r="180" spans="2:4" x14ac:dyDescent="0.25">
      <c r="B180" s="116"/>
      <c r="C180" s="5" t="s">
        <v>681</v>
      </c>
      <c r="D180" s="2"/>
    </row>
    <row r="181" spans="2:4" x14ac:dyDescent="0.25">
      <c r="B181" s="140" t="s">
        <v>123</v>
      </c>
      <c r="C181" s="5" t="s">
        <v>670</v>
      </c>
      <c r="D181" s="2"/>
    </row>
    <row r="182" spans="2:4" x14ac:dyDescent="0.25">
      <c r="B182" s="141"/>
      <c r="C182" s="5" t="s">
        <v>671</v>
      </c>
      <c r="D182" s="2"/>
    </row>
    <row r="183" spans="2:4" x14ac:dyDescent="0.25">
      <c r="B183" s="141"/>
      <c r="C183" s="5" t="s">
        <v>910</v>
      </c>
      <c r="D183" s="2"/>
    </row>
    <row r="184" spans="2:4" ht="45" x14ac:dyDescent="0.25">
      <c r="B184" s="142"/>
      <c r="C184" s="5" t="s">
        <v>911</v>
      </c>
      <c r="D184" s="2"/>
    </row>
    <row r="185" spans="2:4" x14ac:dyDescent="0.25">
      <c r="B185" s="117" t="s">
        <v>124</v>
      </c>
      <c r="C185" s="5" t="s">
        <v>664</v>
      </c>
      <c r="D185" s="2"/>
    </row>
    <row r="186" spans="2:4" ht="30" x14ac:dyDescent="0.25">
      <c r="B186" s="117"/>
      <c r="C186" s="5" t="s">
        <v>665</v>
      </c>
      <c r="D186" s="2"/>
    </row>
    <row r="187" spans="2:4" x14ac:dyDescent="0.25">
      <c r="B187" s="117"/>
      <c r="C187" s="5" t="s">
        <v>666</v>
      </c>
      <c r="D187" s="2"/>
    </row>
    <row r="188" spans="2:4" x14ac:dyDescent="0.25">
      <c r="B188" s="117"/>
      <c r="C188" s="5" t="s">
        <v>667</v>
      </c>
      <c r="D188" s="2"/>
    </row>
    <row r="189" spans="2:4" x14ac:dyDescent="0.25">
      <c r="B189" s="117"/>
      <c r="C189" s="5" t="s">
        <v>668</v>
      </c>
      <c r="D189" s="2"/>
    </row>
    <row r="190" spans="2:4" x14ac:dyDescent="0.25">
      <c r="B190" s="117"/>
      <c r="C190" s="5" t="s">
        <v>669</v>
      </c>
      <c r="D190" s="2"/>
    </row>
    <row r="191" spans="2:4" x14ac:dyDescent="0.25">
      <c r="B191" s="109" t="s">
        <v>125</v>
      </c>
      <c r="C191" s="5" t="s">
        <v>658</v>
      </c>
      <c r="D191" s="2"/>
    </row>
    <row r="192" spans="2:4" x14ac:dyDescent="0.25">
      <c r="B192" s="109"/>
      <c r="C192" s="83" t="s">
        <v>657</v>
      </c>
      <c r="D192" s="2"/>
    </row>
    <row r="193" spans="2:4" x14ac:dyDescent="0.25">
      <c r="B193" s="109"/>
      <c r="C193" s="5" t="s">
        <v>662</v>
      </c>
      <c r="D193" s="2"/>
    </row>
    <row r="194" spans="2:4" x14ac:dyDescent="0.25">
      <c r="B194" s="119" t="s">
        <v>126</v>
      </c>
      <c r="C194" s="5" t="s">
        <v>649</v>
      </c>
      <c r="D194" s="2"/>
    </row>
    <row r="195" spans="2:4" x14ac:dyDescent="0.25">
      <c r="B195" s="119"/>
      <c r="C195" s="5" t="s">
        <v>650</v>
      </c>
      <c r="D195" s="2"/>
    </row>
    <row r="196" spans="2:4" x14ac:dyDescent="0.25">
      <c r="B196" s="119"/>
      <c r="C196" s="5" t="s">
        <v>652</v>
      </c>
      <c r="D196" s="2"/>
    </row>
    <row r="197" spans="2:4" x14ac:dyDescent="0.25">
      <c r="B197" s="119"/>
      <c r="C197" s="5" t="s">
        <v>653</v>
      </c>
      <c r="D197" s="2"/>
    </row>
    <row r="198" spans="2:4" x14ac:dyDescent="0.25">
      <c r="B198" s="119"/>
      <c r="C198" s="5" t="s">
        <v>654</v>
      </c>
      <c r="D198" s="2"/>
    </row>
    <row r="199" spans="2:4" x14ac:dyDescent="0.25">
      <c r="B199" s="119"/>
      <c r="C199" s="5" t="s">
        <v>655</v>
      </c>
      <c r="D199" s="2"/>
    </row>
    <row r="200" spans="2:4" x14ac:dyDescent="0.25">
      <c r="B200" s="116" t="s">
        <v>377</v>
      </c>
      <c r="C200" s="5" t="s">
        <v>640</v>
      </c>
      <c r="D200" s="2"/>
    </row>
    <row r="201" spans="2:4" x14ac:dyDescent="0.25">
      <c r="B201" s="116"/>
      <c r="C201" s="5" t="s">
        <v>643</v>
      </c>
      <c r="D201" s="2"/>
    </row>
    <row r="202" spans="2:4" x14ac:dyDescent="0.25">
      <c r="B202" s="116"/>
      <c r="C202" s="5" t="s">
        <v>644</v>
      </c>
      <c r="D202" s="2"/>
    </row>
    <row r="203" spans="2:4" x14ac:dyDescent="0.25">
      <c r="B203" s="116"/>
      <c r="C203" s="5" t="s">
        <v>645</v>
      </c>
      <c r="D203" s="2"/>
    </row>
    <row r="204" spans="2:4" x14ac:dyDescent="0.25">
      <c r="B204" s="116"/>
      <c r="C204" s="5" t="s">
        <v>646</v>
      </c>
      <c r="D204" s="2"/>
    </row>
  </sheetData>
  <mergeCells count="34">
    <mergeCell ref="B52:B54"/>
    <mergeCell ref="B50:B51"/>
    <mergeCell ref="B70:B74"/>
    <mergeCell ref="B87:B93"/>
    <mergeCell ref="B94:B95"/>
    <mergeCell ref="B55:B58"/>
    <mergeCell ref="B59:B60"/>
    <mergeCell ref="B61:B62"/>
    <mergeCell ref="B63:B64"/>
    <mergeCell ref="B200:B204"/>
    <mergeCell ref="B185:B190"/>
    <mergeCell ref="B157:B165"/>
    <mergeCell ref="B172:B173"/>
    <mergeCell ref="B168:B171"/>
    <mergeCell ref="B166:B167"/>
    <mergeCell ref="B174:B180"/>
    <mergeCell ref="B191:B193"/>
    <mergeCell ref="B194:B199"/>
    <mergeCell ref="B181:B184"/>
    <mergeCell ref="B154:B156"/>
    <mergeCell ref="B148:B153"/>
    <mergeCell ref="B144:B146"/>
    <mergeCell ref="B134:B143"/>
    <mergeCell ref="B131:B132"/>
    <mergeCell ref="B125:B130"/>
    <mergeCell ref="B65:B66"/>
    <mergeCell ref="B82:B86"/>
    <mergeCell ref="B80:B81"/>
    <mergeCell ref="B75:B79"/>
    <mergeCell ref="B67:B69"/>
    <mergeCell ref="B118:B124"/>
    <mergeCell ref="B108:B115"/>
    <mergeCell ref="B102:B106"/>
    <mergeCell ref="B97:B10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23F8-FE34-4DC8-8839-D06F1BEC7047}">
  <sheetPr codeName="Sheet1"/>
  <dimension ref="A1:F8"/>
  <sheetViews>
    <sheetView topLeftCell="A4" workbookViewId="0">
      <selection activeCell="E7" sqref="E7"/>
    </sheetView>
  </sheetViews>
  <sheetFormatPr defaultRowHeight="15" x14ac:dyDescent="0.25"/>
  <cols>
    <col min="2" max="2" width="31.85546875" bestFit="1" customWidth="1"/>
    <col min="3" max="3" width="17.28515625" bestFit="1" customWidth="1"/>
    <col min="4" max="4" width="27.85546875" bestFit="1" customWidth="1"/>
    <col min="5" max="5" width="67" customWidth="1"/>
    <col min="6" max="6" width="29.42578125" bestFit="1" customWidth="1"/>
  </cols>
  <sheetData>
    <row r="1" spans="1:6" x14ac:dyDescent="0.25">
      <c r="A1" t="s">
        <v>0</v>
      </c>
      <c r="B1" t="s">
        <v>218</v>
      </c>
      <c r="C1" t="s">
        <v>220</v>
      </c>
      <c r="D1" t="s">
        <v>363</v>
      </c>
      <c r="E1" t="s">
        <v>33</v>
      </c>
      <c r="F1" t="s">
        <v>853</v>
      </c>
    </row>
    <row r="2" spans="1:6" ht="90" x14ac:dyDescent="0.25">
      <c r="A2">
        <v>1</v>
      </c>
      <c r="B2" t="s">
        <v>840</v>
      </c>
      <c r="C2" t="s">
        <v>841</v>
      </c>
      <c r="D2" t="s">
        <v>36</v>
      </c>
      <c r="E2" s="14" t="s">
        <v>863</v>
      </c>
      <c r="F2" s="14" t="s">
        <v>862</v>
      </c>
    </row>
    <row r="3" spans="1:6" x14ac:dyDescent="0.25">
      <c r="A3">
        <v>2</v>
      </c>
      <c r="B3" t="s">
        <v>842</v>
      </c>
      <c r="C3" t="s">
        <v>232</v>
      </c>
      <c r="D3" t="s">
        <v>17</v>
      </c>
    </row>
    <row r="4" spans="1:6" x14ac:dyDescent="0.25">
      <c r="A4">
        <v>3</v>
      </c>
      <c r="B4" t="s">
        <v>843</v>
      </c>
      <c r="D4" t="s">
        <v>844</v>
      </c>
    </row>
    <row r="5" spans="1:6" ht="75" x14ac:dyDescent="0.25">
      <c r="A5">
        <v>4</v>
      </c>
      <c r="B5" t="s">
        <v>860</v>
      </c>
      <c r="C5" t="s">
        <v>232</v>
      </c>
      <c r="D5" t="s">
        <v>389</v>
      </c>
      <c r="E5" s="14" t="s">
        <v>852</v>
      </c>
      <c r="F5" s="14" t="s">
        <v>854</v>
      </c>
    </row>
    <row r="6" spans="1:6" ht="75" x14ac:dyDescent="0.25">
      <c r="A6">
        <v>5</v>
      </c>
      <c r="B6" t="s">
        <v>860</v>
      </c>
      <c r="C6" t="s">
        <v>232</v>
      </c>
      <c r="D6" t="s">
        <v>351</v>
      </c>
      <c r="E6" s="14" t="s">
        <v>864</v>
      </c>
      <c r="F6" s="14" t="s">
        <v>861</v>
      </c>
    </row>
    <row r="7" spans="1:6" x14ac:dyDescent="0.25">
      <c r="A7">
        <v>6</v>
      </c>
      <c r="B7" t="s">
        <v>868</v>
      </c>
      <c r="C7" t="s">
        <v>232</v>
      </c>
      <c r="D7" s="101" t="s">
        <v>869</v>
      </c>
      <c r="F7" s="14"/>
    </row>
    <row r="8" spans="1:6" x14ac:dyDescent="0.25">
      <c r="D8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57"/>
  <sheetViews>
    <sheetView topLeftCell="A49" workbookViewId="0">
      <selection activeCell="B54" sqref="B54:B55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128" t="s">
        <v>295</v>
      </c>
      <c r="B1" s="129"/>
      <c r="C1" s="129"/>
      <c r="D1" s="129"/>
      <c r="E1" s="129"/>
      <c r="F1" s="129"/>
      <c r="G1" s="129"/>
    </row>
    <row r="3" spans="1:17" x14ac:dyDescent="0.25">
      <c r="A3" s="1" t="s">
        <v>0</v>
      </c>
      <c r="B3" s="1" t="s">
        <v>219</v>
      </c>
      <c r="C3" s="4" t="s">
        <v>218</v>
      </c>
      <c r="D3" s="4" t="s">
        <v>220</v>
      </c>
      <c r="E3" s="1" t="s">
        <v>238</v>
      </c>
      <c r="F3" s="4" t="s">
        <v>635</v>
      </c>
      <c r="G3" s="1" t="s">
        <v>271</v>
      </c>
      <c r="H3" s="1" t="s">
        <v>272</v>
      </c>
      <c r="I3" s="1" t="s">
        <v>221</v>
      </c>
      <c r="J3" s="1" t="s">
        <v>222</v>
      </c>
      <c r="K3" s="1" t="s">
        <v>223</v>
      </c>
      <c r="L3" s="1" t="s">
        <v>224</v>
      </c>
      <c r="M3" s="1" t="s">
        <v>234</v>
      </c>
      <c r="N3" s="1" t="s">
        <v>235</v>
      </c>
      <c r="O3" s="1" t="s">
        <v>4</v>
      </c>
      <c r="P3" s="1" t="s">
        <v>30</v>
      </c>
      <c r="Q3" s="4" t="s">
        <v>33</v>
      </c>
    </row>
    <row r="4" spans="1:17" x14ac:dyDescent="0.25">
      <c r="A4" s="109">
        <v>1</v>
      </c>
      <c r="B4" s="126" t="s">
        <v>225</v>
      </c>
      <c r="C4" s="5" t="s">
        <v>227</v>
      </c>
      <c r="D4" s="5" t="s">
        <v>232</v>
      </c>
      <c r="E4" s="2" t="s">
        <v>270</v>
      </c>
      <c r="F4" s="5"/>
      <c r="G4" s="2" t="s">
        <v>274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109"/>
      <c r="B5" s="126"/>
      <c r="C5" s="5" t="s">
        <v>239</v>
      </c>
      <c r="D5" s="5" t="s">
        <v>232</v>
      </c>
      <c r="E5" s="2" t="s">
        <v>240</v>
      </c>
      <c r="F5" s="5"/>
      <c r="G5" s="2" t="s">
        <v>274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109"/>
      <c r="B6" s="126"/>
      <c r="C6" s="5" t="s">
        <v>269</v>
      </c>
      <c r="D6" s="5" t="s">
        <v>232</v>
      </c>
      <c r="E6" s="2" t="s">
        <v>270</v>
      </c>
      <c r="F6" s="5"/>
      <c r="G6" s="2" t="s">
        <v>274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109">
        <v>2</v>
      </c>
      <c r="B7" s="126" t="s">
        <v>7</v>
      </c>
      <c r="C7" s="5" t="s">
        <v>227</v>
      </c>
      <c r="D7" s="5" t="s">
        <v>232</v>
      </c>
      <c r="E7" s="2" t="s">
        <v>270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109"/>
      <c r="B8" s="126"/>
      <c r="C8" s="5" t="s">
        <v>236</v>
      </c>
      <c r="D8" s="5" t="s">
        <v>232</v>
      </c>
      <c r="E8" s="2" t="s">
        <v>270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109"/>
      <c r="B9" s="126"/>
      <c r="C9" s="5" t="s">
        <v>226</v>
      </c>
      <c r="D9" s="5" t="s">
        <v>232</v>
      </c>
      <c r="E9" s="2" t="s">
        <v>270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109"/>
      <c r="B10" s="126"/>
      <c r="C10" s="5" t="s">
        <v>237</v>
      </c>
      <c r="D10" s="5" t="s">
        <v>232</v>
      </c>
      <c r="E10" s="2" t="s">
        <v>270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109"/>
      <c r="B11" s="126"/>
      <c r="C11" s="5" t="s">
        <v>228</v>
      </c>
      <c r="D11" s="5" t="s">
        <v>232</v>
      </c>
      <c r="E11" s="2" t="s">
        <v>270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109"/>
      <c r="B12" s="126"/>
      <c r="C12" s="5" t="s">
        <v>229</v>
      </c>
      <c r="D12" s="5" t="s">
        <v>232</v>
      </c>
      <c r="E12" s="2" t="s">
        <v>270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109"/>
      <c r="B13" s="126"/>
      <c r="C13" s="5" t="s">
        <v>230</v>
      </c>
      <c r="D13" s="5" t="s">
        <v>233</v>
      </c>
      <c r="E13" s="2" t="s">
        <v>270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109"/>
      <c r="B14" s="126"/>
      <c r="C14" s="5" t="s">
        <v>231</v>
      </c>
      <c r="D14" s="5" t="s">
        <v>233</v>
      </c>
      <c r="E14" s="2" t="s">
        <v>270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57">
        <v>3</v>
      </c>
      <c r="B15" s="58" t="s">
        <v>17</v>
      </c>
      <c r="C15" s="5" t="s">
        <v>290</v>
      </c>
      <c r="D15" s="5" t="s">
        <v>291</v>
      </c>
      <c r="E15" s="2" t="s">
        <v>270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57">
        <v>3</v>
      </c>
      <c r="B16" s="58" t="s">
        <v>43</v>
      </c>
      <c r="C16" s="5" t="s">
        <v>162</v>
      </c>
      <c r="D16" s="22" t="s">
        <v>285</v>
      </c>
      <c r="E16" s="2" t="s">
        <v>270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289</v>
      </c>
    </row>
    <row r="17" spans="1:17" x14ac:dyDescent="0.25">
      <c r="A17" s="109">
        <v>4</v>
      </c>
      <c r="B17" s="126" t="s">
        <v>44</v>
      </c>
      <c r="C17" s="5" t="s">
        <v>164</v>
      </c>
      <c r="D17" s="5" t="s">
        <v>284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289</v>
      </c>
    </row>
    <row r="18" spans="1:17" x14ac:dyDescent="0.25">
      <c r="A18" s="109"/>
      <c r="B18" s="126"/>
      <c r="C18" s="5" t="s">
        <v>286</v>
      </c>
      <c r="D18" s="5" t="s">
        <v>284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289</v>
      </c>
    </row>
    <row r="19" spans="1:17" x14ac:dyDescent="0.25">
      <c r="A19" s="109"/>
      <c r="B19" s="126"/>
      <c r="C19" s="5" t="s">
        <v>287</v>
      </c>
      <c r="D19" s="5" t="s">
        <v>284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289</v>
      </c>
    </row>
    <row r="20" spans="1:17" x14ac:dyDescent="0.25">
      <c r="A20" s="109"/>
      <c r="B20" s="126"/>
      <c r="C20" s="5" t="s">
        <v>288</v>
      </c>
      <c r="D20" s="5" t="s">
        <v>284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289</v>
      </c>
    </row>
    <row r="21" spans="1:17" x14ac:dyDescent="0.25">
      <c r="A21" s="57">
        <v>5</v>
      </c>
      <c r="B21" s="58" t="s">
        <v>19</v>
      </c>
      <c r="C21" s="5" t="s">
        <v>294</v>
      </c>
      <c r="D21" s="5" t="s">
        <v>284</v>
      </c>
      <c r="E21" s="11" t="s">
        <v>270</v>
      </c>
      <c r="F21" s="22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109">
        <v>6</v>
      </c>
      <c r="B22" s="126" t="s">
        <v>53</v>
      </c>
      <c r="C22" s="5" t="s">
        <v>297</v>
      </c>
      <c r="D22" s="5" t="s">
        <v>298</v>
      </c>
      <c r="E22" s="11" t="s">
        <v>270</v>
      </c>
      <c r="F22" s="22"/>
      <c r="G22" s="2"/>
      <c r="H22" s="2"/>
      <c r="I22" s="2"/>
      <c r="J22" s="2"/>
      <c r="K22" s="2"/>
      <c r="L22" s="2"/>
      <c r="M22" s="2"/>
      <c r="N22" s="2"/>
      <c r="O22" s="2"/>
      <c r="P22" s="2"/>
      <c r="Q22" s="22" t="s">
        <v>299</v>
      </c>
    </row>
    <row r="23" spans="1:17" ht="30" x14ac:dyDescent="0.25">
      <c r="A23" s="109"/>
      <c r="B23" s="126"/>
      <c r="C23" s="5" t="s">
        <v>300</v>
      </c>
      <c r="D23" s="5" t="s">
        <v>298</v>
      </c>
      <c r="E23" s="11" t="s">
        <v>270</v>
      </c>
      <c r="F23" s="2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109">
        <v>7</v>
      </c>
      <c r="B24" s="126" t="s">
        <v>79</v>
      </c>
      <c r="C24" s="5" t="s">
        <v>301</v>
      </c>
      <c r="D24" s="5" t="s">
        <v>304</v>
      </c>
      <c r="E24" s="11" t="s">
        <v>270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109"/>
      <c r="B25" s="126"/>
      <c r="C25" s="5" t="s">
        <v>302</v>
      </c>
      <c r="D25" s="5" t="s">
        <v>304</v>
      </c>
      <c r="E25" s="11" t="s">
        <v>270</v>
      </c>
      <c r="F25" s="22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305</v>
      </c>
    </row>
    <row r="26" spans="1:17" ht="30" x14ac:dyDescent="0.25">
      <c r="A26" s="109"/>
      <c r="B26" s="126"/>
      <c r="C26" s="5" t="s">
        <v>303</v>
      </c>
      <c r="D26" s="5" t="s">
        <v>304</v>
      </c>
      <c r="E26" s="11" t="s">
        <v>270</v>
      </c>
      <c r="F26" s="22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109">
        <v>8</v>
      </c>
      <c r="B27" s="127" t="s">
        <v>107</v>
      </c>
      <c r="C27" s="5" t="s">
        <v>306</v>
      </c>
      <c r="D27" s="5" t="s">
        <v>308</v>
      </c>
      <c r="E27" s="2" t="s">
        <v>240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309</v>
      </c>
    </row>
    <row r="28" spans="1:17" ht="30" x14ac:dyDescent="0.25">
      <c r="A28" s="109"/>
      <c r="B28" s="127"/>
      <c r="C28" s="5" t="s">
        <v>307</v>
      </c>
      <c r="D28" s="5" t="s">
        <v>308</v>
      </c>
      <c r="E28" s="11" t="s">
        <v>270</v>
      </c>
      <c r="F28" s="22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310</v>
      </c>
    </row>
    <row r="29" spans="1:17" x14ac:dyDescent="0.25">
      <c r="A29" s="57">
        <v>9</v>
      </c>
      <c r="B29" s="2" t="s">
        <v>113</v>
      </c>
      <c r="C29" s="5" t="s">
        <v>312</v>
      </c>
      <c r="D29" s="5" t="s">
        <v>232</v>
      </c>
      <c r="E29" s="11" t="s">
        <v>240</v>
      </c>
      <c r="F29" s="22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115</v>
      </c>
      <c r="C30" s="5" t="s">
        <v>315</v>
      </c>
      <c r="D30" s="5" t="s">
        <v>232</v>
      </c>
      <c r="E30" s="11" t="s">
        <v>314</v>
      </c>
      <c r="F30" s="22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109">
        <v>11</v>
      </c>
      <c r="B31" s="130" t="s">
        <v>117</v>
      </c>
      <c r="C31" s="5" t="s">
        <v>316</v>
      </c>
      <c r="D31" s="5" t="s">
        <v>232</v>
      </c>
      <c r="E31" s="11" t="s">
        <v>240</v>
      </c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109"/>
      <c r="B32" s="130"/>
      <c r="C32" s="5" t="s">
        <v>705</v>
      </c>
      <c r="D32" s="5" t="s">
        <v>232</v>
      </c>
      <c r="E32" s="11" t="s">
        <v>240</v>
      </c>
      <c r="F32" s="2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109">
        <v>12</v>
      </c>
      <c r="B33" s="130" t="s">
        <v>118</v>
      </c>
      <c r="C33" s="5" t="s">
        <v>307</v>
      </c>
      <c r="D33" s="5" t="s">
        <v>232</v>
      </c>
      <c r="E33" s="11" t="s">
        <v>314</v>
      </c>
      <c r="F33" s="22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318</v>
      </c>
    </row>
    <row r="34" spans="1:17" ht="30" x14ac:dyDescent="0.25">
      <c r="A34" s="109"/>
      <c r="B34" s="130"/>
      <c r="C34" s="5" t="s">
        <v>319</v>
      </c>
      <c r="D34" s="5" t="s">
        <v>232</v>
      </c>
      <c r="E34" s="11" t="s">
        <v>240</v>
      </c>
      <c r="F34" s="22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320</v>
      </c>
    </row>
    <row r="35" spans="1:17" x14ac:dyDescent="0.25">
      <c r="A35" s="109">
        <v>13</v>
      </c>
      <c r="B35" s="132" t="s">
        <v>120</v>
      </c>
      <c r="C35" s="5" t="s">
        <v>324</v>
      </c>
      <c r="D35" s="5" t="s">
        <v>232</v>
      </c>
      <c r="E35" s="11" t="s">
        <v>270</v>
      </c>
      <c r="F35" s="22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109"/>
      <c r="B36" s="132"/>
      <c r="C36" s="5" t="s">
        <v>325</v>
      </c>
      <c r="D36" s="5" t="s">
        <v>232</v>
      </c>
      <c r="E36" s="11" t="s">
        <v>240</v>
      </c>
      <c r="F36" s="22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109">
        <v>14</v>
      </c>
      <c r="B37" s="130" t="s">
        <v>122</v>
      </c>
      <c r="C37" s="5" t="s">
        <v>330</v>
      </c>
      <c r="D37" s="5" t="s">
        <v>329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109"/>
      <c r="B38" s="130"/>
      <c r="C38" s="5" t="s">
        <v>327</v>
      </c>
      <c r="D38" s="5" t="s">
        <v>326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328</v>
      </c>
    </row>
    <row r="39" spans="1:17" x14ac:dyDescent="0.25">
      <c r="A39" s="109">
        <v>15</v>
      </c>
      <c r="B39" s="130" t="s">
        <v>123</v>
      </c>
      <c r="C39" s="5" t="s">
        <v>331</v>
      </c>
      <c r="D39" s="5" t="s">
        <v>232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109"/>
      <c r="B40" s="130"/>
      <c r="C40" s="5" t="s">
        <v>332</v>
      </c>
      <c r="D40" s="5" t="s">
        <v>232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109"/>
      <c r="B41" s="130"/>
      <c r="C41" s="5" t="s">
        <v>333</v>
      </c>
      <c r="D41" s="5" t="s">
        <v>232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109"/>
      <c r="B42" s="130"/>
      <c r="C42" s="5" t="s">
        <v>334</v>
      </c>
      <c r="D42" s="5" t="s">
        <v>232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335</v>
      </c>
    </row>
    <row r="43" spans="1:17" ht="30" x14ac:dyDescent="0.25">
      <c r="A43" s="109">
        <v>16</v>
      </c>
      <c r="B43" s="130" t="s">
        <v>125</v>
      </c>
      <c r="C43" s="5" t="s">
        <v>337</v>
      </c>
      <c r="D43" s="5" t="s">
        <v>338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339</v>
      </c>
    </row>
    <row r="44" spans="1:17" x14ac:dyDescent="0.25">
      <c r="A44" s="109"/>
      <c r="B44" s="130"/>
      <c r="C44" s="5" t="s">
        <v>331</v>
      </c>
      <c r="D44" s="5" t="s">
        <v>232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57">
        <v>17</v>
      </c>
      <c r="B45" s="2" t="s">
        <v>126</v>
      </c>
      <c r="C45" s="5" t="s">
        <v>340</v>
      </c>
      <c r="D45" s="5" t="s">
        <v>232</v>
      </c>
      <c r="E45" s="2"/>
      <c r="F45" s="45" t="s">
        <v>656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109">
        <v>18</v>
      </c>
      <c r="B46" s="131" t="s">
        <v>204</v>
      </c>
      <c r="C46" s="5" t="s">
        <v>341</v>
      </c>
      <c r="D46" s="5" t="s">
        <v>344</v>
      </c>
      <c r="E46" s="2"/>
      <c r="F46" s="45" t="s">
        <v>642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109"/>
      <c r="B47" s="131"/>
      <c r="C47" s="5" t="s">
        <v>342</v>
      </c>
      <c r="D47" s="5" t="s">
        <v>344</v>
      </c>
      <c r="E47" s="2" t="s">
        <v>240</v>
      </c>
      <c r="F47" s="45" t="s">
        <v>641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109"/>
      <c r="B48" s="131"/>
      <c r="C48" s="5" t="s">
        <v>327</v>
      </c>
      <c r="D48" s="5" t="s">
        <v>344</v>
      </c>
      <c r="E48" s="2"/>
      <c r="F48" s="45" t="s">
        <v>647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109"/>
      <c r="B49" s="131"/>
      <c r="C49" s="46" t="s">
        <v>343</v>
      </c>
      <c r="D49" s="5" t="s">
        <v>344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ht="30" x14ac:dyDescent="0.25">
      <c r="A50" s="109">
        <v>19</v>
      </c>
      <c r="B50" s="109" t="s">
        <v>373</v>
      </c>
      <c r="C50" s="5" t="s">
        <v>319</v>
      </c>
      <c r="D50" s="5" t="s">
        <v>344</v>
      </c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ht="30" x14ac:dyDescent="0.25">
      <c r="A51" s="109"/>
      <c r="B51" s="109"/>
      <c r="C51" s="5" t="s">
        <v>307</v>
      </c>
      <c r="D51" s="5" t="s">
        <v>344</v>
      </c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x14ac:dyDescent="0.25">
      <c r="A52" s="109">
        <v>20</v>
      </c>
      <c r="B52" s="109" t="s">
        <v>390</v>
      </c>
      <c r="C52" s="5" t="s">
        <v>783</v>
      </c>
      <c r="D52" s="5" t="s">
        <v>232</v>
      </c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x14ac:dyDescent="0.25">
      <c r="A53" s="109"/>
      <c r="B53" s="109"/>
      <c r="C53" s="5" t="s">
        <v>784</v>
      </c>
      <c r="D53" s="5" t="s">
        <v>232</v>
      </c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  <row r="54" spans="1:17" ht="30" x14ac:dyDescent="0.25">
      <c r="A54" s="109">
        <v>21</v>
      </c>
      <c r="B54" s="109" t="s">
        <v>417</v>
      </c>
      <c r="C54" s="5" t="s">
        <v>802</v>
      </c>
      <c r="D54" s="5" t="s">
        <v>232</v>
      </c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</row>
    <row r="55" spans="1:17" x14ac:dyDescent="0.25">
      <c r="A55" s="109"/>
      <c r="B55" s="109"/>
      <c r="C55" s="5" t="s">
        <v>803</v>
      </c>
      <c r="D55" s="5" t="s">
        <v>232</v>
      </c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</row>
    <row r="56" spans="1:17" ht="30" x14ac:dyDescent="0.25">
      <c r="A56" s="123">
        <v>22</v>
      </c>
      <c r="B56" s="123" t="s">
        <v>402</v>
      </c>
      <c r="C56" s="5" t="s">
        <v>814</v>
      </c>
      <c r="D56" s="5" t="s">
        <v>815</v>
      </c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</row>
    <row r="57" spans="1:17" ht="30" x14ac:dyDescent="0.25">
      <c r="A57" s="125"/>
      <c r="B57" s="125"/>
      <c r="C57" s="5" t="s">
        <v>813</v>
      </c>
      <c r="D57" s="5" t="s">
        <v>815</v>
      </c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</row>
  </sheetData>
  <mergeCells count="35">
    <mergeCell ref="B54:B55"/>
    <mergeCell ref="A54:A55"/>
    <mergeCell ref="B56:B57"/>
    <mergeCell ref="A56:A57"/>
    <mergeCell ref="B50:B51"/>
    <mergeCell ref="A50:A51"/>
    <mergeCell ref="B52:B53"/>
    <mergeCell ref="A52:A53"/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B33:B34"/>
    <mergeCell ref="A33:A34"/>
    <mergeCell ref="B24:B26"/>
    <mergeCell ref="B4:B6"/>
    <mergeCell ref="A4:A6"/>
    <mergeCell ref="A7:A14"/>
    <mergeCell ref="B17:B20"/>
    <mergeCell ref="A17:A20"/>
    <mergeCell ref="A31:A32"/>
    <mergeCell ref="B22:B23"/>
    <mergeCell ref="A22:A23"/>
    <mergeCell ref="A24:A26"/>
    <mergeCell ref="B7:B14"/>
    <mergeCell ref="B27:B28"/>
    <mergeCell ref="A27:A28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S75"/>
  <sheetViews>
    <sheetView topLeftCell="A46" zoomScaleNormal="100" workbookViewId="0">
      <selection activeCell="B60" sqref="B60:H68"/>
    </sheetView>
  </sheetViews>
  <sheetFormatPr defaultRowHeight="15" x14ac:dyDescent="0.25"/>
  <cols>
    <col min="1" max="1" width="8" style="6" bestFit="1" customWidth="1"/>
    <col min="2" max="2" width="39.7109375" bestFit="1" customWidth="1"/>
    <col min="3" max="3" width="14.42578125" bestFit="1" customWidth="1"/>
    <col min="4" max="4" width="13.7109375" style="6" bestFit="1" customWidth="1"/>
    <col min="5" max="5" width="10.5703125" style="6" bestFit="1" customWidth="1"/>
    <col min="6" max="6" width="13.140625" style="6" bestFit="1" customWidth="1"/>
    <col min="7" max="7" width="10.28515625" style="6" bestFit="1" customWidth="1"/>
    <col min="8" max="8" width="17.85546875" style="6" bestFit="1" customWidth="1"/>
    <col min="9" max="10" width="13.140625" style="6" bestFit="1" customWidth="1"/>
    <col min="11" max="12" width="12" style="6" bestFit="1" customWidth="1"/>
    <col min="13" max="13" width="12" bestFit="1" customWidth="1"/>
    <col min="14" max="14" width="9.7109375" bestFit="1" customWidth="1"/>
    <col min="15" max="15" width="9.85546875" bestFit="1" customWidth="1"/>
    <col min="16" max="16" width="13.28515625" bestFit="1" customWidth="1"/>
    <col min="17" max="17" width="11" bestFit="1" customWidth="1"/>
    <col min="18" max="18" width="12" bestFit="1" customWidth="1"/>
    <col min="19" max="19" width="9.7109375" bestFit="1" customWidth="1"/>
    <col min="20" max="20" width="14.140625" bestFit="1" customWidth="1"/>
    <col min="21" max="21" width="10.28515625" bestFit="1" customWidth="1"/>
    <col min="22" max="22" width="13.28515625" bestFit="1" customWidth="1"/>
    <col min="23" max="23" width="10.7109375" bestFit="1" customWidth="1"/>
    <col min="24" max="24" width="12.7109375" bestFit="1" customWidth="1"/>
    <col min="25" max="25" width="10.140625" bestFit="1" customWidth="1"/>
    <col min="26" max="26" width="12" bestFit="1" customWidth="1"/>
    <col min="27" max="27" width="10" bestFit="1" customWidth="1"/>
    <col min="28" max="28" width="13.28515625" bestFit="1" customWidth="1"/>
    <col min="29" max="29" width="10.7109375" bestFit="1" customWidth="1"/>
    <col min="30" max="30" width="12.7109375" bestFit="1" customWidth="1"/>
    <col min="31" max="31" width="9.85546875" bestFit="1" customWidth="1"/>
    <col min="32" max="32" width="14.42578125" bestFit="1" customWidth="1"/>
    <col min="33" max="33" width="9.85546875" bestFit="1" customWidth="1"/>
    <col min="34" max="34" width="14.42578125" bestFit="1" customWidth="1"/>
    <col min="35" max="35" width="10.28515625" bestFit="1" customWidth="1"/>
    <col min="36" max="36" width="14.42578125" bestFit="1" customWidth="1"/>
    <col min="37" max="37" width="9.7109375" bestFit="1" customWidth="1"/>
    <col min="38" max="38" width="12.85546875" bestFit="1" customWidth="1"/>
    <col min="39" max="39" width="12.28515625" customWidth="1"/>
    <col min="40" max="40" width="11.140625" bestFit="1" customWidth="1"/>
  </cols>
  <sheetData>
    <row r="1" spans="1:45" ht="60" x14ac:dyDescent="0.25">
      <c r="A1" s="23" t="s">
        <v>0</v>
      </c>
      <c r="B1" s="23" t="s">
        <v>1</v>
      </c>
      <c r="C1" s="4" t="s">
        <v>5</v>
      </c>
      <c r="D1" s="1" t="s">
        <v>623</v>
      </c>
      <c r="E1" s="1" t="s">
        <v>613</v>
      </c>
      <c r="F1" s="1" t="s">
        <v>31</v>
      </c>
      <c r="G1" s="1" t="s">
        <v>614</v>
      </c>
      <c r="H1" s="1" t="s">
        <v>625</v>
      </c>
      <c r="I1" s="4" t="s">
        <v>619</v>
      </c>
      <c r="J1" s="4" t="s">
        <v>620</v>
      </c>
      <c r="K1" s="4" t="s">
        <v>621</v>
      </c>
      <c r="L1" s="4" t="s">
        <v>622</v>
      </c>
      <c r="M1" s="1" t="s">
        <v>594</v>
      </c>
      <c r="N1" s="1" t="s">
        <v>828</v>
      </c>
      <c r="O1" s="1" t="s">
        <v>615</v>
      </c>
      <c r="P1" s="4" t="s">
        <v>595</v>
      </c>
      <c r="Q1" s="4" t="s">
        <v>626</v>
      </c>
      <c r="R1" s="4" t="s">
        <v>596</v>
      </c>
      <c r="S1" s="4" t="s">
        <v>627</v>
      </c>
      <c r="T1" s="4" t="s">
        <v>597</v>
      </c>
      <c r="U1" s="4" t="s">
        <v>616</v>
      </c>
      <c r="V1" s="4" t="s">
        <v>598</v>
      </c>
      <c r="W1" s="4" t="s">
        <v>628</v>
      </c>
      <c r="X1" s="4" t="s">
        <v>599</v>
      </c>
      <c r="Y1" s="4" t="s">
        <v>629</v>
      </c>
      <c r="Z1" s="4" t="s">
        <v>600</v>
      </c>
      <c r="AA1" s="4" t="s">
        <v>617</v>
      </c>
      <c r="AB1" s="4" t="s">
        <v>601</v>
      </c>
      <c r="AC1" s="4" t="s">
        <v>630</v>
      </c>
      <c r="AD1" s="4" t="s">
        <v>602</v>
      </c>
      <c r="AE1" s="4" t="s">
        <v>631</v>
      </c>
      <c r="AF1" s="4" t="s">
        <v>603</v>
      </c>
      <c r="AG1" s="4" t="s">
        <v>618</v>
      </c>
      <c r="AH1" s="4" t="s">
        <v>604</v>
      </c>
      <c r="AI1" s="4" t="s">
        <v>632</v>
      </c>
      <c r="AJ1" s="4" t="s">
        <v>605</v>
      </c>
      <c r="AK1" s="4" t="s">
        <v>633</v>
      </c>
      <c r="AL1" s="32" t="s">
        <v>611</v>
      </c>
      <c r="AM1" s="4" t="s">
        <v>634</v>
      </c>
      <c r="AN1" s="4" t="s">
        <v>612</v>
      </c>
    </row>
    <row r="2" spans="1:45" x14ac:dyDescent="0.25">
      <c r="A2" s="13">
        <v>3</v>
      </c>
      <c r="B2" s="2" t="s">
        <v>7</v>
      </c>
      <c r="C2" s="2">
        <f t="shared" ref="C2:C33" si="0">RANK(AN2,$AN$2:$AN$68,1)</f>
        <v>1</v>
      </c>
      <c r="D2" s="2">
        <v>46</v>
      </c>
      <c r="E2" s="2">
        <f t="shared" ref="E2:E33" si="1" xml:space="preserve"> ROUND((((D2 - $D$74)/($D$73 - $D$74))*100),2)</f>
        <v>5.81</v>
      </c>
      <c r="F2" s="2">
        <v>3</v>
      </c>
      <c r="G2" s="2">
        <f t="shared" ref="G2:G33" si="2" xml:space="preserve"> ROUND((((F2 - $F$74)/($F$73 - $F$74))*100),2)</f>
        <v>0.47</v>
      </c>
      <c r="H2" s="2" t="b">
        <f t="shared" ref="H2:H33" si="3">D2&lt;=F2</f>
        <v>0</v>
      </c>
      <c r="I2" s="35">
        <f t="shared" ref="I2:I42" si="4">VLOOKUP(B2,Uni_TU_Lkp,6,FALSE)</f>
        <v>100</v>
      </c>
      <c r="J2" s="35">
        <f t="shared" ref="J2:J42" si="5">VLOOKUP(B2,Uni_TU_Lkp,7,FALSE)</f>
        <v>82.4</v>
      </c>
      <c r="K2" s="35">
        <f t="shared" ref="K2:K42" si="6">VLOOKUP(B2,Uni_TU_Lkp,8,FALSE)</f>
        <v>94</v>
      </c>
      <c r="L2" s="35">
        <f t="shared" ref="L2:L42" si="7">VLOOKUP(B2,Uni_TU_Lkp,9,FALSE)</f>
        <v>94.8</v>
      </c>
      <c r="M2" s="11">
        <f t="shared" ref="M2:M33" si="8">VLOOKUP(B2,AI_Rank,2,FALSE)</f>
        <v>1</v>
      </c>
      <c r="N2" s="11" t="b">
        <f t="shared" ref="N2:N33" si="9">M2&lt;100</f>
        <v>1</v>
      </c>
      <c r="O2" s="2">
        <f t="shared" ref="O2:O33" si="10" xml:space="preserve"> ROUND((((M2 - $M$74)/($M$73 - $M$74))*100),2)</f>
        <v>0</v>
      </c>
      <c r="P2" s="11">
        <f t="shared" ref="P2:P33" si="11">VLOOKUP(B2,AI_Rank,3,FALSE)</f>
        <v>46.3</v>
      </c>
      <c r="Q2" s="11">
        <f t="shared" ref="Q2:Q33" si="12" xml:space="preserve"> ROUND((((P2 - $P$74)/($P$73 - $P$74)) * 100),2)</f>
        <v>100</v>
      </c>
      <c r="R2" s="11">
        <f t="shared" ref="R2:R33" si="13">VLOOKUP(B2,AI_Rank,4,FALSE)</f>
        <v>69</v>
      </c>
      <c r="S2" s="11">
        <f t="shared" ref="S2:S33" si="14" xml:space="preserve"> ROUND((((R2 - $R$74)/($R$73 - $R$74)) * 100),2)</f>
        <v>100</v>
      </c>
      <c r="T2" s="11">
        <f t="shared" ref="T2:T44" si="15">VLOOKUP(B2,Theory_Rank,2,FALSE)</f>
        <v>1</v>
      </c>
      <c r="U2" s="2">
        <f t="shared" ref="U2:U33" si="16" xml:space="preserve"> ROUND((((T2 - $T$74)/($T$73 - $T$74))*100),2)</f>
        <v>0</v>
      </c>
      <c r="V2" s="11">
        <f t="shared" ref="V2:V44" si="17">VLOOKUP(B2,Theory_Rank,3,FALSE)</f>
        <v>12.8</v>
      </c>
      <c r="W2" s="11">
        <f t="shared" ref="W2:W33" si="18" xml:space="preserve"> ROUND((((V2 - $V$74)/($V$73 - $V$74)) * 100),2)</f>
        <v>100</v>
      </c>
      <c r="X2" s="11">
        <f t="shared" ref="X2:X44" si="19">VLOOKUP(B2,Theory_Rank,4,FALSE)</f>
        <v>22</v>
      </c>
      <c r="Y2" s="11">
        <f t="shared" ref="Y2:Y33" si="20" xml:space="preserve"> ROUND((((X2 - $X$74)/($X$73 - $X$74)) * 100),2)</f>
        <v>95.65</v>
      </c>
      <c r="Z2" s="11">
        <f t="shared" ref="Z2:Z20" si="21">VLOOKUP(B2,Systems_Rank,2,FALSE)</f>
        <v>4</v>
      </c>
      <c r="AA2" s="2">
        <f t="shared" ref="AA2:AA33" si="22" xml:space="preserve"> ROUND((((Z2 - $Z$74)/($Z$73 - $Z$74))*100),2)</f>
        <v>2.7</v>
      </c>
      <c r="AB2" s="11">
        <f t="shared" ref="AB2:AB20" si="23">VLOOKUP(B2,Systems_Rank,3,FALSE)</f>
        <v>6</v>
      </c>
      <c r="AC2" s="11">
        <f t="shared" ref="AC2:AC33" si="24" xml:space="preserve"> ROUND((((AB2 - $AB$74)/($AB$73 - $AB$74)) * 100),2)</f>
        <v>84.51</v>
      </c>
      <c r="AD2" s="11">
        <f t="shared" ref="AD2:AD20" si="25">VLOOKUP(B2,Systems_Rank,4,FALSE)</f>
        <v>62</v>
      </c>
      <c r="AE2" s="11">
        <f t="shared" ref="AE2:AE33" si="26" xml:space="preserve"> ROUND((((AD2 - $AD$74)/($AD$73 - $AD$74)) * 100),2)</f>
        <v>100</v>
      </c>
      <c r="AF2" s="11">
        <f t="shared" ref="AF2:AF20" si="27">VLOOKUP(B2,InterD_Rank,2,FALSE)</f>
        <v>2</v>
      </c>
      <c r="AG2" s="2">
        <f t="shared" ref="AG2:AG33" si="28" xml:space="preserve"> ROUND((((AF2 - $AF$74)/($AF$73 - $AF$74))*100),2)</f>
        <v>0.91</v>
      </c>
      <c r="AH2" s="11">
        <f t="shared" ref="AH2:AH20" si="29">VLOOKUP(B2,InterD_Rank,3,FALSE)</f>
        <v>17</v>
      </c>
      <c r="AI2" s="11">
        <f t="shared" ref="AI2:AI33" si="30" xml:space="preserve"> ROUND((((AH2 - $AH$74)/($AH$73 - $AH$74)) * 100),2)</f>
        <v>97.14</v>
      </c>
      <c r="AJ2" s="11">
        <f t="shared" ref="AJ2:AJ20" si="31">VLOOKUP(B2,InterD_Rank,4,FALSE)</f>
        <v>60</v>
      </c>
      <c r="AK2" s="11">
        <f t="shared" ref="AK2:AK33" si="32" xml:space="preserve"> ROUND((((AJ2 - $AJ$74)/($AJ$73 - $AJ$74)) * 100),2)</f>
        <v>100</v>
      </c>
      <c r="AL2" s="2">
        <f t="shared" ref="AL2:AL33" si="33" xml:space="preserve"> ROUND((0.5 * O2 + 0.2 * U2 + 0.15 * AA2 + 0.15 * AG2),2)</f>
        <v>0.54</v>
      </c>
      <c r="AM2" s="2">
        <f t="shared" ref="AM2:AM33" si="34">ROUND((0.5*((I2+K2+L2)/3) + 0.5 * ((0.6 *((Q2 + S2)/2)) + (0.2 * ((U2 + W2)/2)) + (0.1 * ((AC2 + AE2)/2)) + (0.1 * ((AI2 + AK2)/2)))),2)</f>
        <v>92.67</v>
      </c>
      <c r="AN2" s="2">
        <f t="shared" ref="AN2:AN33" si="35" xml:space="preserve"> ROUND((0.2 * E2 + 0.4 * G2 + 0.4 * AL2),2)</f>
        <v>1.57</v>
      </c>
    </row>
    <row r="3" spans="1:45" x14ac:dyDescent="0.25">
      <c r="A3" s="13">
        <v>1</v>
      </c>
      <c r="B3" s="2" t="s">
        <v>35</v>
      </c>
      <c r="C3" s="2">
        <f t="shared" si="0"/>
        <v>2</v>
      </c>
      <c r="D3" s="2">
        <v>1</v>
      </c>
      <c r="E3" s="2">
        <f t="shared" si="1"/>
        <v>0</v>
      </c>
      <c r="F3" s="2">
        <v>1</v>
      </c>
      <c r="G3" s="2">
        <f t="shared" si="2"/>
        <v>0</v>
      </c>
      <c r="H3" s="2" t="b">
        <f t="shared" si="3"/>
        <v>1</v>
      </c>
      <c r="I3" s="35">
        <f t="shared" si="4"/>
        <v>90.5</v>
      </c>
      <c r="J3" s="35">
        <f t="shared" si="5"/>
        <v>98.7</v>
      </c>
      <c r="K3" s="35">
        <f t="shared" si="6"/>
        <v>95.4</v>
      </c>
      <c r="L3" s="35">
        <f t="shared" si="7"/>
        <v>94.6</v>
      </c>
      <c r="M3" s="11">
        <f t="shared" si="8"/>
        <v>12</v>
      </c>
      <c r="N3" s="11" t="b">
        <f t="shared" si="9"/>
        <v>1</v>
      </c>
      <c r="O3" s="2">
        <f t="shared" si="10"/>
        <v>6.08</v>
      </c>
      <c r="P3" s="11">
        <f t="shared" si="11"/>
        <v>12.7</v>
      </c>
      <c r="Q3" s="11">
        <f t="shared" si="12"/>
        <v>27.43</v>
      </c>
      <c r="R3" s="11">
        <f t="shared" si="13"/>
        <v>43</v>
      </c>
      <c r="S3" s="11">
        <f t="shared" si="14"/>
        <v>61.19</v>
      </c>
      <c r="T3" s="11">
        <f t="shared" si="15"/>
        <v>2</v>
      </c>
      <c r="U3" s="2">
        <f t="shared" si="16"/>
        <v>0.56000000000000005</v>
      </c>
      <c r="V3" s="11">
        <f t="shared" si="17"/>
        <v>11.3</v>
      </c>
      <c r="W3" s="11">
        <f t="shared" si="18"/>
        <v>88.28</v>
      </c>
      <c r="X3" s="11">
        <f t="shared" si="19"/>
        <v>21</v>
      </c>
      <c r="Y3" s="11">
        <f t="shared" si="20"/>
        <v>91.3</v>
      </c>
      <c r="Z3" s="11">
        <f t="shared" si="21"/>
        <v>3</v>
      </c>
      <c r="AA3" s="2">
        <f t="shared" si="22"/>
        <v>1.8</v>
      </c>
      <c r="AB3" s="11">
        <f t="shared" si="23"/>
        <v>6.2</v>
      </c>
      <c r="AC3" s="11">
        <f t="shared" si="24"/>
        <v>87.32</v>
      </c>
      <c r="AD3" s="11">
        <f t="shared" si="25"/>
        <v>40</v>
      </c>
      <c r="AE3" s="11">
        <f t="shared" si="26"/>
        <v>64.52</v>
      </c>
      <c r="AF3" s="11">
        <f t="shared" si="27"/>
        <v>6</v>
      </c>
      <c r="AG3" s="2">
        <f t="shared" si="28"/>
        <v>4.55</v>
      </c>
      <c r="AH3" s="11">
        <f t="shared" si="29"/>
        <v>9.8000000000000007</v>
      </c>
      <c r="AI3" s="11">
        <f t="shared" si="30"/>
        <v>56</v>
      </c>
      <c r="AJ3" s="11">
        <f t="shared" si="31"/>
        <v>21</v>
      </c>
      <c r="AK3" s="11">
        <f t="shared" si="32"/>
        <v>35</v>
      </c>
      <c r="AL3" s="2">
        <f t="shared" si="33"/>
        <v>4.0999999999999996</v>
      </c>
      <c r="AM3" s="2">
        <f t="shared" si="34"/>
        <v>70.56</v>
      </c>
      <c r="AN3" s="2">
        <f t="shared" si="35"/>
        <v>1.64</v>
      </c>
    </row>
    <row r="4" spans="1:45" x14ac:dyDescent="0.25">
      <c r="A4" s="13">
        <v>2</v>
      </c>
      <c r="B4" s="2" t="s">
        <v>36</v>
      </c>
      <c r="C4" s="2">
        <f t="shared" si="0"/>
        <v>3</v>
      </c>
      <c r="D4" s="2">
        <v>2</v>
      </c>
      <c r="E4" s="2">
        <f t="shared" si="1"/>
        <v>0.13</v>
      </c>
      <c r="F4" s="2">
        <v>2</v>
      </c>
      <c r="G4" s="2">
        <f t="shared" si="2"/>
        <v>0.24</v>
      </c>
      <c r="H4" s="2" t="b">
        <f t="shared" si="3"/>
        <v>1</v>
      </c>
      <c r="I4" s="35">
        <f t="shared" si="4"/>
        <v>87.8</v>
      </c>
      <c r="J4" s="35">
        <f t="shared" si="5"/>
        <v>96</v>
      </c>
      <c r="K4" s="35">
        <f t="shared" si="6"/>
        <v>100</v>
      </c>
      <c r="L4" s="35">
        <f t="shared" si="7"/>
        <v>100</v>
      </c>
      <c r="M4" s="11">
        <f t="shared" si="8"/>
        <v>5</v>
      </c>
      <c r="N4" s="11" t="b">
        <f t="shared" si="9"/>
        <v>1</v>
      </c>
      <c r="O4" s="2">
        <f t="shared" si="10"/>
        <v>2.21</v>
      </c>
      <c r="P4" s="11">
        <f t="shared" si="11"/>
        <v>21.3</v>
      </c>
      <c r="Q4" s="11">
        <f t="shared" si="12"/>
        <v>46</v>
      </c>
      <c r="R4" s="11">
        <f t="shared" si="13"/>
        <v>34</v>
      </c>
      <c r="S4" s="11">
        <f t="shared" si="14"/>
        <v>47.76</v>
      </c>
      <c r="T4" s="11">
        <f t="shared" si="15"/>
        <v>14</v>
      </c>
      <c r="U4" s="2">
        <f t="shared" si="16"/>
        <v>7.26</v>
      </c>
      <c r="V4" s="11">
        <f t="shared" si="17"/>
        <v>6.7</v>
      </c>
      <c r="W4" s="11">
        <f t="shared" si="18"/>
        <v>52.34</v>
      </c>
      <c r="X4" s="11">
        <f t="shared" si="19"/>
        <v>15</v>
      </c>
      <c r="Y4" s="11">
        <f t="shared" si="20"/>
        <v>65.22</v>
      </c>
      <c r="Z4" s="11">
        <f t="shared" si="21"/>
        <v>7</v>
      </c>
      <c r="AA4" s="2">
        <f t="shared" si="22"/>
        <v>5.41</v>
      </c>
      <c r="AB4" s="11">
        <f t="shared" si="23"/>
        <v>4.3</v>
      </c>
      <c r="AC4" s="11">
        <f t="shared" si="24"/>
        <v>60.56</v>
      </c>
      <c r="AD4" s="11">
        <f t="shared" si="25"/>
        <v>29</v>
      </c>
      <c r="AE4" s="11">
        <f t="shared" si="26"/>
        <v>46.77</v>
      </c>
      <c r="AF4" s="11">
        <f t="shared" si="27"/>
        <v>7</v>
      </c>
      <c r="AG4" s="2">
        <f t="shared" si="28"/>
        <v>5.45</v>
      </c>
      <c r="AH4" s="11">
        <f t="shared" si="29"/>
        <v>8.4</v>
      </c>
      <c r="AI4" s="11">
        <f t="shared" si="30"/>
        <v>48</v>
      </c>
      <c r="AJ4" s="11">
        <f t="shared" si="31"/>
        <v>16</v>
      </c>
      <c r="AK4" s="11">
        <f t="shared" si="32"/>
        <v>26.67</v>
      </c>
      <c r="AL4" s="2">
        <f t="shared" si="33"/>
        <v>4.1900000000000004</v>
      </c>
      <c r="AM4" s="2">
        <f t="shared" si="34"/>
        <v>69.56</v>
      </c>
      <c r="AN4" s="2">
        <f t="shared" si="35"/>
        <v>1.8</v>
      </c>
    </row>
    <row r="5" spans="1:45" x14ac:dyDescent="0.25">
      <c r="A5" s="13">
        <v>4</v>
      </c>
      <c r="B5" s="2" t="s">
        <v>373</v>
      </c>
      <c r="C5" s="2">
        <f t="shared" si="0"/>
        <v>4</v>
      </c>
      <c r="D5" s="2">
        <v>27</v>
      </c>
      <c r="E5" s="2">
        <f t="shared" si="1"/>
        <v>3.36</v>
      </c>
      <c r="F5" s="2">
        <v>4</v>
      </c>
      <c r="G5" s="2">
        <f t="shared" si="2"/>
        <v>0.71</v>
      </c>
      <c r="H5" s="2" t="b">
        <f t="shared" si="3"/>
        <v>0</v>
      </c>
      <c r="I5" s="35">
        <f t="shared" si="4"/>
        <v>85.7</v>
      </c>
      <c r="J5" s="35">
        <f t="shared" si="5"/>
        <v>89</v>
      </c>
      <c r="K5" s="35">
        <f t="shared" si="6"/>
        <v>93.3</v>
      </c>
      <c r="L5" s="35">
        <f t="shared" si="7"/>
        <v>98.4</v>
      </c>
      <c r="M5" s="11">
        <f t="shared" si="8"/>
        <v>11</v>
      </c>
      <c r="N5" s="11" t="b">
        <f t="shared" si="9"/>
        <v>1</v>
      </c>
      <c r="O5" s="2">
        <f t="shared" si="10"/>
        <v>5.52</v>
      </c>
      <c r="P5" s="11">
        <f t="shared" si="11"/>
        <v>13</v>
      </c>
      <c r="Q5" s="11">
        <f t="shared" si="12"/>
        <v>28.08</v>
      </c>
      <c r="R5" s="11">
        <f t="shared" si="13"/>
        <v>37</v>
      </c>
      <c r="S5" s="11">
        <f t="shared" si="14"/>
        <v>52.24</v>
      </c>
      <c r="T5" s="11">
        <f t="shared" si="15"/>
        <v>7</v>
      </c>
      <c r="U5" s="2">
        <f t="shared" si="16"/>
        <v>3.35</v>
      </c>
      <c r="V5" s="11">
        <f t="shared" si="17"/>
        <v>8.8000000000000007</v>
      </c>
      <c r="W5" s="11">
        <f t="shared" si="18"/>
        <v>68.75</v>
      </c>
      <c r="X5" s="11">
        <f t="shared" si="19"/>
        <v>15</v>
      </c>
      <c r="Y5" s="11">
        <f t="shared" si="20"/>
        <v>65.22</v>
      </c>
      <c r="Z5" s="11">
        <f t="shared" si="21"/>
        <v>5</v>
      </c>
      <c r="AA5" s="2">
        <f t="shared" si="22"/>
        <v>3.6</v>
      </c>
      <c r="AB5" s="11">
        <f t="shared" si="23"/>
        <v>5.7</v>
      </c>
      <c r="AC5" s="11">
        <f t="shared" si="24"/>
        <v>80.28</v>
      </c>
      <c r="AD5" s="11">
        <f t="shared" si="25"/>
        <v>39</v>
      </c>
      <c r="AE5" s="11">
        <f t="shared" si="26"/>
        <v>62.9</v>
      </c>
      <c r="AF5" s="11">
        <f t="shared" si="27"/>
        <v>5</v>
      </c>
      <c r="AG5" s="2">
        <f t="shared" si="28"/>
        <v>3.64</v>
      </c>
      <c r="AH5" s="11">
        <f t="shared" si="29"/>
        <v>10.8</v>
      </c>
      <c r="AI5" s="11">
        <f t="shared" si="30"/>
        <v>61.71</v>
      </c>
      <c r="AJ5" s="11">
        <f t="shared" si="31"/>
        <v>27</v>
      </c>
      <c r="AK5" s="11">
        <f t="shared" si="32"/>
        <v>45</v>
      </c>
      <c r="AL5" s="2">
        <f t="shared" si="33"/>
        <v>4.5199999999999996</v>
      </c>
      <c r="AM5" s="2">
        <f t="shared" si="34"/>
        <v>68.13</v>
      </c>
      <c r="AN5" s="2">
        <f t="shared" si="35"/>
        <v>2.76</v>
      </c>
    </row>
    <row r="6" spans="1:45" x14ac:dyDescent="0.25">
      <c r="A6" s="13">
        <v>5</v>
      </c>
      <c r="B6" s="2" t="s">
        <v>118</v>
      </c>
      <c r="C6" s="2">
        <f t="shared" si="0"/>
        <v>5</v>
      </c>
      <c r="D6" s="2">
        <v>14</v>
      </c>
      <c r="E6" s="2">
        <f t="shared" si="1"/>
        <v>1.68</v>
      </c>
      <c r="F6" s="2">
        <v>25</v>
      </c>
      <c r="G6" s="2">
        <f t="shared" si="2"/>
        <v>5.66</v>
      </c>
      <c r="H6" s="2" t="b">
        <f t="shared" si="3"/>
        <v>1</v>
      </c>
      <c r="I6" s="35">
        <f t="shared" si="4"/>
        <v>76.5</v>
      </c>
      <c r="J6" s="35">
        <f t="shared" si="5"/>
        <v>76.900000000000006</v>
      </c>
      <c r="K6" s="35">
        <f t="shared" si="6"/>
        <v>85.3</v>
      </c>
      <c r="L6" s="35">
        <f t="shared" si="7"/>
        <v>96.4</v>
      </c>
      <c r="M6" s="11">
        <f t="shared" si="8"/>
        <v>4</v>
      </c>
      <c r="N6" s="11" t="b">
        <f t="shared" si="9"/>
        <v>1</v>
      </c>
      <c r="O6" s="2">
        <f t="shared" si="10"/>
        <v>1.66</v>
      </c>
      <c r="P6" s="11">
        <f t="shared" si="11"/>
        <v>22.3</v>
      </c>
      <c r="Q6" s="11">
        <f t="shared" si="12"/>
        <v>48.16</v>
      </c>
      <c r="R6" s="11">
        <f t="shared" si="13"/>
        <v>40</v>
      </c>
      <c r="S6" s="11">
        <f t="shared" si="14"/>
        <v>56.72</v>
      </c>
      <c r="T6" s="11">
        <f t="shared" si="15"/>
        <v>6</v>
      </c>
      <c r="U6" s="2">
        <f t="shared" si="16"/>
        <v>2.79</v>
      </c>
      <c r="V6" s="11">
        <f t="shared" si="17"/>
        <v>9.1</v>
      </c>
      <c r="W6" s="11">
        <f t="shared" si="18"/>
        <v>71.09</v>
      </c>
      <c r="X6" s="11">
        <f t="shared" si="19"/>
        <v>14</v>
      </c>
      <c r="Y6" s="11">
        <f t="shared" si="20"/>
        <v>60.87</v>
      </c>
      <c r="Z6" s="11">
        <f t="shared" si="21"/>
        <v>10</v>
      </c>
      <c r="AA6" s="2">
        <f t="shared" si="22"/>
        <v>8.11</v>
      </c>
      <c r="AB6" s="11">
        <f t="shared" si="23"/>
        <v>3.8</v>
      </c>
      <c r="AC6" s="11">
        <f t="shared" si="24"/>
        <v>53.52</v>
      </c>
      <c r="AD6" s="11">
        <f t="shared" si="25"/>
        <v>30</v>
      </c>
      <c r="AE6" s="11">
        <f t="shared" si="26"/>
        <v>48.39</v>
      </c>
      <c r="AF6" s="11">
        <f t="shared" si="27"/>
        <v>12</v>
      </c>
      <c r="AG6" s="2">
        <f t="shared" si="28"/>
        <v>10</v>
      </c>
      <c r="AH6" s="11">
        <f t="shared" si="29"/>
        <v>7.4</v>
      </c>
      <c r="AI6" s="11">
        <f t="shared" si="30"/>
        <v>42.29</v>
      </c>
      <c r="AJ6" s="11">
        <f t="shared" si="31"/>
        <v>20</v>
      </c>
      <c r="AK6" s="11">
        <f t="shared" si="32"/>
        <v>33.33</v>
      </c>
      <c r="AL6" s="2">
        <f t="shared" si="33"/>
        <v>4.0999999999999996</v>
      </c>
      <c r="AM6" s="2">
        <f t="shared" si="34"/>
        <v>66.900000000000006</v>
      </c>
      <c r="AN6" s="2">
        <f t="shared" si="35"/>
        <v>4.24</v>
      </c>
    </row>
    <row r="7" spans="1:45" x14ac:dyDescent="0.25">
      <c r="A7" s="13">
        <v>6</v>
      </c>
      <c r="B7" s="2" t="s">
        <v>122</v>
      </c>
      <c r="C7" s="2">
        <f t="shared" si="0"/>
        <v>6</v>
      </c>
      <c r="D7" s="2">
        <v>20</v>
      </c>
      <c r="E7" s="2">
        <f t="shared" si="1"/>
        <v>2.4500000000000002</v>
      </c>
      <c r="F7" s="2">
        <v>45</v>
      </c>
      <c r="G7" s="2">
        <f t="shared" si="2"/>
        <v>10.38</v>
      </c>
      <c r="H7" s="2" t="b">
        <f t="shared" si="3"/>
        <v>1</v>
      </c>
      <c r="I7" s="35">
        <f t="shared" si="4"/>
        <v>63.4</v>
      </c>
      <c r="J7" s="35">
        <f t="shared" si="5"/>
        <v>80</v>
      </c>
      <c r="K7" s="35">
        <f t="shared" si="6"/>
        <v>86.8</v>
      </c>
      <c r="L7" s="35">
        <f t="shared" si="7"/>
        <v>91.7</v>
      </c>
      <c r="M7" s="11">
        <f t="shared" si="8"/>
        <v>9</v>
      </c>
      <c r="N7" s="11" t="b">
        <f t="shared" si="9"/>
        <v>1</v>
      </c>
      <c r="O7" s="2">
        <f t="shared" si="10"/>
        <v>4.42</v>
      </c>
      <c r="P7" s="11">
        <f t="shared" si="11"/>
        <v>14</v>
      </c>
      <c r="Q7" s="11">
        <f t="shared" si="12"/>
        <v>30.24</v>
      </c>
      <c r="R7" s="11">
        <f t="shared" si="13"/>
        <v>30</v>
      </c>
      <c r="S7" s="11">
        <f t="shared" si="14"/>
        <v>41.79</v>
      </c>
      <c r="T7" s="11">
        <f t="shared" si="15"/>
        <v>28</v>
      </c>
      <c r="U7" s="2">
        <f t="shared" si="16"/>
        <v>15.08</v>
      </c>
      <c r="V7" s="11">
        <f t="shared" si="17"/>
        <v>4.3</v>
      </c>
      <c r="W7" s="11">
        <f t="shared" si="18"/>
        <v>33.590000000000003</v>
      </c>
      <c r="X7" s="11">
        <f t="shared" si="19"/>
        <v>7</v>
      </c>
      <c r="Y7" s="11">
        <f t="shared" si="20"/>
        <v>30.43</v>
      </c>
      <c r="Z7" s="11">
        <f t="shared" si="21"/>
        <v>2</v>
      </c>
      <c r="AA7" s="2">
        <f t="shared" si="22"/>
        <v>0.9</v>
      </c>
      <c r="AB7" s="11">
        <f t="shared" si="23"/>
        <v>6.5</v>
      </c>
      <c r="AC7" s="11">
        <f t="shared" si="24"/>
        <v>91.55</v>
      </c>
      <c r="AD7" s="11">
        <f t="shared" si="25"/>
        <v>38</v>
      </c>
      <c r="AE7" s="11">
        <f t="shared" si="26"/>
        <v>61.29</v>
      </c>
      <c r="AF7" s="11">
        <f t="shared" si="27"/>
        <v>4</v>
      </c>
      <c r="AG7" s="2">
        <f t="shared" si="28"/>
        <v>2.73</v>
      </c>
      <c r="AH7" s="11">
        <f t="shared" si="29"/>
        <v>11.2</v>
      </c>
      <c r="AI7" s="11">
        <f t="shared" si="30"/>
        <v>64</v>
      </c>
      <c r="AJ7" s="11">
        <f t="shared" si="31"/>
        <v>21</v>
      </c>
      <c r="AK7" s="11">
        <f t="shared" si="32"/>
        <v>35</v>
      </c>
      <c r="AL7" s="2">
        <f t="shared" si="33"/>
        <v>5.77</v>
      </c>
      <c r="AM7" s="2">
        <f t="shared" si="34"/>
        <v>59.85</v>
      </c>
      <c r="AN7" s="2">
        <f t="shared" si="35"/>
        <v>6.95</v>
      </c>
    </row>
    <row r="8" spans="1:45" x14ac:dyDescent="0.25">
      <c r="A8" s="13">
        <v>7</v>
      </c>
      <c r="B8" s="2" t="s">
        <v>201</v>
      </c>
      <c r="C8" s="2">
        <f t="shared" si="0"/>
        <v>7</v>
      </c>
      <c r="D8" s="2">
        <v>69</v>
      </c>
      <c r="E8" s="2">
        <f t="shared" si="1"/>
        <v>8.7899999999999991</v>
      </c>
      <c r="F8" s="2">
        <v>21</v>
      </c>
      <c r="G8" s="2">
        <f t="shared" si="2"/>
        <v>4.72</v>
      </c>
      <c r="H8" s="2" t="b">
        <f t="shared" si="3"/>
        <v>0</v>
      </c>
      <c r="I8" s="35">
        <f t="shared" si="4"/>
        <v>75.2</v>
      </c>
      <c r="J8" s="35">
        <f t="shared" si="5"/>
        <v>79.3</v>
      </c>
      <c r="K8" s="35">
        <f t="shared" si="6"/>
        <v>91.8</v>
      </c>
      <c r="L8" s="35">
        <f t="shared" si="7"/>
        <v>91.4</v>
      </c>
      <c r="M8" s="11">
        <f t="shared" si="8"/>
        <v>7</v>
      </c>
      <c r="N8" s="11" t="b">
        <f t="shared" si="9"/>
        <v>1</v>
      </c>
      <c r="O8" s="2">
        <f t="shared" si="10"/>
        <v>3.31</v>
      </c>
      <c r="P8" s="11">
        <f t="shared" si="11"/>
        <v>17.3</v>
      </c>
      <c r="Q8" s="11">
        <f t="shared" si="12"/>
        <v>37.369999999999997</v>
      </c>
      <c r="R8" s="11">
        <f t="shared" si="13"/>
        <v>32</v>
      </c>
      <c r="S8" s="11">
        <f t="shared" si="14"/>
        <v>44.78</v>
      </c>
      <c r="T8" s="11">
        <f t="shared" si="15"/>
        <v>40</v>
      </c>
      <c r="U8" s="2">
        <f t="shared" si="16"/>
        <v>21.79</v>
      </c>
      <c r="V8" s="11">
        <f t="shared" si="17"/>
        <v>3.4</v>
      </c>
      <c r="W8" s="11">
        <f t="shared" si="18"/>
        <v>26.56</v>
      </c>
      <c r="X8" s="11">
        <f t="shared" si="19"/>
        <v>7</v>
      </c>
      <c r="Y8" s="11">
        <f t="shared" si="20"/>
        <v>30.43</v>
      </c>
      <c r="Z8" s="11">
        <f t="shared" si="21"/>
        <v>20</v>
      </c>
      <c r="AA8" s="2">
        <f t="shared" si="22"/>
        <v>17.12</v>
      </c>
      <c r="AB8" s="11">
        <f t="shared" si="23"/>
        <v>2.8</v>
      </c>
      <c r="AC8" s="11">
        <f t="shared" si="24"/>
        <v>39.44</v>
      </c>
      <c r="AD8" s="11">
        <f t="shared" si="25"/>
        <v>33</v>
      </c>
      <c r="AE8" s="11">
        <f t="shared" si="26"/>
        <v>53.23</v>
      </c>
      <c r="AF8" s="11">
        <f t="shared" si="27"/>
        <v>3</v>
      </c>
      <c r="AG8" s="2">
        <f t="shared" si="28"/>
        <v>1.82</v>
      </c>
      <c r="AH8" s="11">
        <f t="shared" si="29"/>
        <v>15.7</v>
      </c>
      <c r="AI8" s="11">
        <f t="shared" si="30"/>
        <v>89.71</v>
      </c>
      <c r="AJ8" s="11">
        <f t="shared" si="31"/>
        <v>35</v>
      </c>
      <c r="AK8" s="11">
        <f t="shared" si="32"/>
        <v>58.33</v>
      </c>
      <c r="AL8" s="2">
        <f t="shared" si="33"/>
        <v>8.85</v>
      </c>
      <c r="AM8" s="2">
        <f t="shared" si="34"/>
        <v>63.82</v>
      </c>
      <c r="AN8" s="2">
        <f t="shared" si="35"/>
        <v>7.19</v>
      </c>
    </row>
    <row r="9" spans="1:45" x14ac:dyDescent="0.25">
      <c r="A9" s="13">
        <v>11</v>
      </c>
      <c r="B9" s="2" t="s">
        <v>120</v>
      </c>
      <c r="C9" s="2">
        <f t="shared" si="0"/>
        <v>8</v>
      </c>
      <c r="D9" s="2">
        <v>71</v>
      </c>
      <c r="E9" s="2">
        <f t="shared" si="1"/>
        <v>9.0399999999999991</v>
      </c>
      <c r="F9" s="2">
        <v>28</v>
      </c>
      <c r="G9" s="2">
        <f t="shared" si="2"/>
        <v>6.37</v>
      </c>
      <c r="H9" s="2" t="b">
        <f t="shared" si="3"/>
        <v>0</v>
      </c>
      <c r="I9" s="35">
        <f t="shared" si="4"/>
        <v>75.3</v>
      </c>
      <c r="J9" s="35">
        <f t="shared" si="5"/>
        <v>73.900000000000006</v>
      </c>
      <c r="K9" s="35">
        <f t="shared" si="6"/>
        <v>90.6</v>
      </c>
      <c r="L9" s="35">
        <f t="shared" si="7"/>
        <v>94.7</v>
      </c>
      <c r="M9" s="11">
        <f t="shared" si="8"/>
        <v>18</v>
      </c>
      <c r="N9" s="11" t="b">
        <f t="shared" si="9"/>
        <v>1</v>
      </c>
      <c r="O9" s="2">
        <f t="shared" si="10"/>
        <v>9.39</v>
      </c>
      <c r="P9" s="11">
        <f t="shared" si="11"/>
        <v>10.9</v>
      </c>
      <c r="Q9" s="11">
        <f t="shared" si="12"/>
        <v>23.54</v>
      </c>
      <c r="R9" s="11">
        <f t="shared" si="13"/>
        <v>31</v>
      </c>
      <c r="S9" s="11">
        <f t="shared" si="14"/>
        <v>43.28</v>
      </c>
      <c r="T9" s="11">
        <f t="shared" si="15"/>
        <v>20</v>
      </c>
      <c r="U9" s="2">
        <f t="shared" si="16"/>
        <v>10.61</v>
      </c>
      <c r="V9" s="11">
        <f t="shared" si="17"/>
        <v>5.6</v>
      </c>
      <c r="W9" s="11">
        <f t="shared" si="18"/>
        <v>43.75</v>
      </c>
      <c r="X9" s="11">
        <f t="shared" si="19"/>
        <v>16</v>
      </c>
      <c r="Y9" s="11">
        <f t="shared" si="20"/>
        <v>69.569999999999993</v>
      </c>
      <c r="Z9" s="11">
        <f t="shared" si="21"/>
        <v>1</v>
      </c>
      <c r="AA9" s="2">
        <f t="shared" si="22"/>
        <v>0</v>
      </c>
      <c r="AB9" s="11">
        <f t="shared" si="23"/>
        <v>7.1</v>
      </c>
      <c r="AC9" s="11">
        <f t="shared" si="24"/>
        <v>100</v>
      </c>
      <c r="AD9" s="11">
        <f t="shared" si="25"/>
        <v>49</v>
      </c>
      <c r="AE9" s="11">
        <f t="shared" si="26"/>
        <v>79.03</v>
      </c>
      <c r="AF9" s="11">
        <f t="shared" si="27"/>
        <v>9</v>
      </c>
      <c r="AG9" s="2">
        <f t="shared" si="28"/>
        <v>7.27</v>
      </c>
      <c r="AH9" s="11">
        <f t="shared" si="29"/>
        <v>7.8</v>
      </c>
      <c r="AI9" s="11">
        <f t="shared" si="30"/>
        <v>44.57</v>
      </c>
      <c r="AJ9" s="11">
        <f t="shared" si="31"/>
        <v>20</v>
      </c>
      <c r="AK9" s="11">
        <f t="shared" si="32"/>
        <v>33.33</v>
      </c>
      <c r="AL9" s="2">
        <f t="shared" si="33"/>
        <v>7.91</v>
      </c>
      <c r="AM9" s="2">
        <f t="shared" si="34"/>
        <v>62.6</v>
      </c>
      <c r="AN9" s="2">
        <f t="shared" si="35"/>
        <v>7.52</v>
      </c>
    </row>
    <row r="10" spans="1:45" x14ac:dyDescent="0.25">
      <c r="A10" s="13">
        <v>10</v>
      </c>
      <c r="B10" s="2" t="s">
        <v>117</v>
      </c>
      <c r="C10" s="2">
        <f t="shared" si="0"/>
        <v>9</v>
      </c>
      <c r="D10" s="2">
        <v>66</v>
      </c>
      <c r="E10" s="2">
        <f t="shared" si="1"/>
        <v>8.4</v>
      </c>
      <c r="F10" s="2">
        <v>18</v>
      </c>
      <c r="G10" s="2">
        <f t="shared" si="2"/>
        <v>4.01</v>
      </c>
      <c r="H10" s="2" t="b">
        <f t="shared" si="3"/>
        <v>0</v>
      </c>
      <c r="I10" s="35">
        <f t="shared" si="4"/>
        <v>79.3</v>
      </c>
      <c r="J10" s="35">
        <f t="shared" si="5"/>
        <v>71.7</v>
      </c>
      <c r="K10" s="35">
        <f t="shared" si="6"/>
        <v>90.2</v>
      </c>
      <c r="L10" s="35">
        <f t="shared" si="7"/>
        <v>98.8</v>
      </c>
      <c r="M10" s="11">
        <f t="shared" si="8"/>
        <v>26</v>
      </c>
      <c r="N10" s="11" t="b">
        <f t="shared" si="9"/>
        <v>1</v>
      </c>
      <c r="O10" s="2">
        <f t="shared" si="10"/>
        <v>13.81</v>
      </c>
      <c r="P10" s="11">
        <f t="shared" si="11"/>
        <v>9</v>
      </c>
      <c r="Q10" s="11">
        <f t="shared" si="12"/>
        <v>19.440000000000001</v>
      </c>
      <c r="R10" s="11">
        <f t="shared" si="13"/>
        <v>26</v>
      </c>
      <c r="S10" s="11">
        <f t="shared" si="14"/>
        <v>35.82</v>
      </c>
      <c r="T10" s="11">
        <f t="shared" si="15"/>
        <v>33</v>
      </c>
      <c r="U10" s="2">
        <f t="shared" si="16"/>
        <v>17.88</v>
      </c>
      <c r="V10" s="11">
        <f t="shared" si="17"/>
        <v>3.8</v>
      </c>
      <c r="W10" s="11">
        <f t="shared" si="18"/>
        <v>29.69</v>
      </c>
      <c r="X10" s="11">
        <f t="shared" si="19"/>
        <v>13</v>
      </c>
      <c r="Y10" s="11">
        <f t="shared" si="20"/>
        <v>56.52</v>
      </c>
      <c r="Z10" s="11">
        <f t="shared" si="21"/>
        <v>7</v>
      </c>
      <c r="AA10" s="2">
        <f t="shared" si="22"/>
        <v>5.41</v>
      </c>
      <c r="AB10" s="11">
        <f t="shared" si="23"/>
        <v>4.3</v>
      </c>
      <c r="AC10" s="11">
        <f t="shared" si="24"/>
        <v>60.56</v>
      </c>
      <c r="AD10" s="11">
        <f t="shared" si="25"/>
        <v>22</v>
      </c>
      <c r="AE10" s="11">
        <f t="shared" si="26"/>
        <v>35.479999999999997</v>
      </c>
      <c r="AF10" s="11">
        <f t="shared" si="27"/>
        <v>1</v>
      </c>
      <c r="AG10" s="2">
        <f t="shared" si="28"/>
        <v>0</v>
      </c>
      <c r="AH10" s="11">
        <f t="shared" si="29"/>
        <v>17.5</v>
      </c>
      <c r="AI10" s="11">
        <f t="shared" si="30"/>
        <v>100</v>
      </c>
      <c r="AJ10" s="11">
        <f t="shared" si="31"/>
        <v>26</v>
      </c>
      <c r="AK10" s="11">
        <f t="shared" si="32"/>
        <v>43.33</v>
      </c>
      <c r="AL10" s="2">
        <f t="shared" si="33"/>
        <v>11.29</v>
      </c>
      <c r="AM10" s="2">
        <f t="shared" si="34"/>
        <v>61.37</v>
      </c>
      <c r="AN10" s="2">
        <f t="shared" si="35"/>
        <v>7.8</v>
      </c>
    </row>
    <row r="11" spans="1:45" x14ac:dyDescent="0.25">
      <c r="A11" s="13">
        <v>9</v>
      </c>
      <c r="B11" s="2" t="s">
        <v>387</v>
      </c>
      <c r="C11" s="2">
        <f t="shared" si="0"/>
        <v>10</v>
      </c>
      <c r="D11" s="2">
        <v>16</v>
      </c>
      <c r="E11" s="2">
        <f t="shared" si="1"/>
        <v>1.94</v>
      </c>
      <c r="F11" s="2">
        <v>24</v>
      </c>
      <c r="G11" s="2">
        <f t="shared" si="2"/>
        <v>5.42</v>
      </c>
      <c r="H11" s="2" t="b">
        <f t="shared" si="3"/>
        <v>1</v>
      </c>
      <c r="I11" s="35">
        <f t="shared" si="4"/>
        <v>75.599999999999994</v>
      </c>
      <c r="J11" s="35">
        <f t="shared" si="5"/>
        <v>81</v>
      </c>
      <c r="K11" s="35">
        <f t="shared" si="6"/>
        <v>83.1</v>
      </c>
      <c r="L11" s="35">
        <f t="shared" si="7"/>
        <v>93.5</v>
      </c>
      <c r="M11" s="11">
        <f t="shared" si="8"/>
        <v>25</v>
      </c>
      <c r="N11" s="11" t="b">
        <f t="shared" si="9"/>
        <v>1</v>
      </c>
      <c r="O11" s="2">
        <f t="shared" si="10"/>
        <v>13.26</v>
      </c>
      <c r="P11" s="11">
        <f t="shared" si="11"/>
        <v>9.1</v>
      </c>
      <c r="Q11" s="11">
        <f t="shared" si="12"/>
        <v>19.649999999999999</v>
      </c>
      <c r="R11" s="11">
        <f t="shared" si="13"/>
        <v>18</v>
      </c>
      <c r="S11" s="11">
        <f t="shared" si="14"/>
        <v>23.88</v>
      </c>
      <c r="T11" s="11">
        <f t="shared" si="15"/>
        <v>18</v>
      </c>
      <c r="U11" s="2">
        <f t="shared" si="16"/>
        <v>9.5</v>
      </c>
      <c r="V11" s="11">
        <f t="shared" si="17"/>
        <v>6</v>
      </c>
      <c r="W11" s="11">
        <f t="shared" si="18"/>
        <v>46.88</v>
      </c>
      <c r="X11" s="11">
        <f t="shared" si="19"/>
        <v>10</v>
      </c>
      <c r="Y11" s="11">
        <f t="shared" si="20"/>
        <v>43.48</v>
      </c>
      <c r="Z11" s="11">
        <f t="shared" si="21"/>
        <v>17</v>
      </c>
      <c r="AA11" s="2">
        <f t="shared" si="22"/>
        <v>14.41</v>
      </c>
      <c r="AB11" s="11">
        <f t="shared" si="23"/>
        <v>3</v>
      </c>
      <c r="AC11" s="11">
        <f t="shared" si="24"/>
        <v>42.25</v>
      </c>
      <c r="AD11" s="11">
        <f t="shared" si="25"/>
        <v>23</v>
      </c>
      <c r="AE11" s="11">
        <f t="shared" si="26"/>
        <v>37.1</v>
      </c>
      <c r="AF11" s="11">
        <f t="shared" si="27"/>
        <v>29</v>
      </c>
      <c r="AG11" s="2">
        <f t="shared" si="28"/>
        <v>25.45</v>
      </c>
      <c r="AH11" s="11">
        <f t="shared" si="29"/>
        <v>3.4</v>
      </c>
      <c r="AI11" s="11">
        <f t="shared" si="30"/>
        <v>19.43</v>
      </c>
      <c r="AJ11" s="11">
        <f t="shared" si="31"/>
        <v>8</v>
      </c>
      <c r="AK11" s="11">
        <f t="shared" si="32"/>
        <v>13.33</v>
      </c>
      <c r="AL11" s="2">
        <f t="shared" si="33"/>
        <v>14.51</v>
      </c>
      <c r="AM11" s="2">
        <f t="shared" si="34"/>
        <v>54.18</v>
      </c>
      <c r="AN11" s="2">
        <f t="shared" si="35"/>
        <v>8.36</v>
      </c>
    </row>
    <row r="12" spans="1:45" x14ac:dyDescent="0.25">
      <c r="A12" s="13">
        <v>12</v>
      </c>
      <c r="B12" s="2" t="s">
        <v>378</v>
      </c>
      <c r="C12" s="2">
        <f t="shared" si="0"/>
        <v>11</v>
      </c>
      <c r="D12" s="2">
        <v>32</v>
      </c>
      <c r="E12" s="2">
        <f t="shared" si="1"/>
        <v>4.01</v>
      </c>
      <c r="F12" s="2">
        <v>13</v>
      </c>
      <c r="G12" s="2">
        <f t="shared" si="2"/>
        <v>2.83</v>
      </c>
      <c r="H12" s="2" t="b">
        <f t="shared" si="3"/>
        <v>0</v>
      </c>
      <c r="I12" s="35">
        <f t="shared" si="4"/>
        <v>77.3</v>
      </c>
      <c r="J12" s="35">
        <f t="shared" si="5"/>
        <v>85.9</v>
      </c>
      <c r="K12" s="35">
        <f t="shared" si="6"/>
        <v>84.6</v>
      </c>
      <c r="L12" s="35">
        <f t="shared" si="7"/>
        <v>92.3</v>
      </c>
      <c r="M12" s="11">
        <f t="shared" si="8"/>
        <v>20</v>
      </c>
      <c r="N12" s="11" t="b">
        <f t="shared" si="9"/>
        <v>1</v>
      </c>
      <c r="O12" s="2">
        <f t="shared" si="10"/>
        <v>10.5</v>
      </c>
      <c r="P12" s="11">
        <f t="shared" si="11"/>
        <v>10.7</v>
      </c>
      <c r="Q12" s="11">
        <f t="shared" si="12"/>
        <v>23.11</v>
      </c>
      <c r="R12" s="11">
        <f t="shared" si="13"/>
        <v>18</v>
      </c>
      <c r="S12" s="11">
        <f t="shared" si="14"/>
        <v>23.88</v>
      </c>
      <c r="T12" s="11">
        <f t="shared" si="15"/>
        <v>9</v>
      </c>
      <c r="U12" s="2">
        <f t="shared" si="16"/>
        <v>4.47</v>
      </c>
      <c r="V12" s="11">
        <f t="shared" si="17"/>
        <v>8</v>
      </c>
      <c r="W12" s="11">
        <f t="shared" si="18"/>
        <v>62.5</v>
      </c>
      <c r="X12" s="11">
        <f t="shared" si="19"/>
        <v>6</v>
      </c>
      <c r="Y12" s="11">
        <f t="shared" si="20"/>
        <v>26.09</v>
      </c>
      <c r="Z12" s="11">
        <f t="shared" si="21"/>
        <v>22</v>
      </c>
      <c r="AA12" s="2">
        <f t="shared" si="22"/>
        <v>18.920000000000002</v>
      </c>
      <c r="AB12" s="11">
        <f t="shared" si="23"/>
        <v>2.7</v>
      </c>
      <c r="AC12" s="11">
        <f t="shared" si="24"/>
        <v>38.03</v>
      </c>
      <c r="AD12" s="11">
        <f t="shared" si="25"/>
        <v>16</v>
      </c>
      <c r="AE12" s="11">
        <f t="shared" si="26"/>
        <v>25.81</v>
      </c>
      <c r="AF12" s="11">
        <f t="shared" si="27"/>
        <v>58</v>
      </c>
      <c r="AG12" s="2">
        <f t="shared" si="28"/>
        <v>51.82</v>
      </c>
      <c r="AH12" s="11">
        <f t="shared" si="29"/>
        <v>1.9</v>
      </c>
      <c r="AI12" s="11">
        <f t="shared" si="30"/>
        <v>10.86</v>
      </c>
      <c r="AJ12" s="11">
        <f t="shared" si="31"/>
        <v>5</v>
      </c>
      <c r="AK12" s="11">
        <f t="shared" si="32"/>
        <v>8.33</v>
      </c>
      <c r="AL12" s="2">
        <f t="shared" si="33"/>
        <v>16.760000000000002</v>
      </c>
      <c r="AM12" s="2">
        <f t="shared" si="34"/>
        <v>54.84</v>
      </c>
      <c r="AN12" s="2">
        <f t="shared" si="35"/>
        <v>8.64</v>
      </c>
    </row>
    <row r="13" spans="1:45" x14ac:dyDescent="0.25">
      <c r="A13" s="13">
        <v>8</v>
      </c>
      <c r="B13" s="2" t="s">
        <v>17</v>
      </c>
      <c r="C13" s="2">
        <f t="shared" si="0"/>
        <v>12</v>
      </c>
      <c r="D13" s="2">
        <v>3</v>
      </c>
      <c r="E13" s="2">
        <f t="shared" si="1"/>
        <v>0.26</v>
      </c>
      <c r="F13" s="2">
        <v>6</v>
      </c>
      <c r="G13" s="2">
        <f t="shared" si="2"/>
        <v>1.18</v>
      </c>
      <c r="H13" s="2" t="b">
        <f t="shared" si="3"/>
        <v>1</v>
      </c>
      <c r="I13" s="35">
        <f t="shared" si="4"/>
        <v>80.400000000000006</v>
      </c>
      <c r="J13" s="35">
        <f t="shared" si="5"/>
        <v>100</v>
      </c>
      <c r="K13" s="35">
        <f t="shared" si="6"/>
        <v>80.599999999999994</v>
      </c>
      <c r="L13" s="35">
        <f t="shared" si="7"/>
        <v>93.6</v>
      </c>
      <c r="M13" s="11">
        <f t="shared" si="8"/>
        <v>36</v>
      </c>
      <c r="N13" s="11" t="b">
        <f t="shared" si="9"/>
        <v>1</v>
      </c>
      <c r="O13" s="2">
        <f t="shared" si="10"/>
        <v>19.34</v>
      </c>
      <c r="P13" s="11">
        <f t="shared" si="11"/>
        <v>7.1</v>
      </c>
      <c r="Q13" s="11">
        <f t="shared" si="12"/>
        <v>15.33</v>
      </c>
      <c r="R13" s="11">
        <f t="shared" si="13"/>
        <v>14</v>
      </c>
      <c r="S13" s="11">
        <f t="shared" si="14"/>
        <v>17.91</v>
      </c>
      <c r="T13" s="11">
        <f t="shared" si="15"/>
        <v>40</v>
      </c>
      <c r="U13" s="2">
        <f t="shared" si="16"/>
        <v>21.79</v>
      </c>
      <c r="V13" s="11">
        <f t="shared" si="17"/>
        <v>3.4</v>
      </c>
      <c r="W13" s="11">
        <f t="shared" si="18"/>
        <v>26.56</v>
      </c>
      <c r="X13" s="11">
        <f t="shared" si="19"/>
        <v>8</v>
      </c>
      <c r="Y13" s="11">
        <f t="shared" si="20"/>
        <v>34.78</v>
      </c>
      <c r="Z13" s="11">
        <f t="shared" si="21"/>
        <v>39</v>
      </c>
      <c r="AA13" s="2">
        <f t="shared" si="22"/>
        <v>34.229999999999997</v>
      </c>
      <c r="AB13" s="11">
        <f t="shared" si="23"/>
        <v>1.8</v>
      </c>
      <c r="AC13" s="11">
        <f t="shared" si="24"/>
        <v>25.35</v>
      </c>
      <c r="AD13" s="11">
        <f t="shared" si="25"/>
        <v>8</v>
      </c>
      <c r="AE13" s="11">
        <f t="shared" si="26"/>
        <v>12.9</v>
      </c>
      <c r="AF13" s="11">
        <f t="shared" si="27"/>
        <v>15</v>
      </c>
      <c r="AG13" s="2">
        <f t="shared" si="28"/>
        <v>12.73</v>
      </c>
      <c r="AH13" s="11">
        <f t="shared" si="29"/>
        <v>5.8</v>
      </c>
      <c r="AI13" s="11">
        <f t="shared" si="30"/>
        <v>33.14</v>
      </c>
      <c r="AJ13" s="11">
        <f t="shared" si="31"/>
        <v>9</v>
      </c>
      <c r="AK13" s="11">
        <f t="shared" si="32"/>
        <v>15</v>
      </c>
      <c r="AL13" s="2">
        <f t="shared" si="33"/>
        <v>21.07</v>
      </c>
      <c r="AM13" s="2">
        <f t="shared" si="34"/>
        <v>52</v>
      </c>
      <c r="AN13" s="2">
        <f t="shared" si="35"/>
        <v>8.9499999999999993</v>
      </c>
    </row>
    <row r="14" spans="1:45" x14ac:dyDescent="0.25">
      <c r="A14" s="13">
        <v>13</v>
      </c>
      <c r="B14" s="2" t="s">
        <v>79</v>
      </c>
      <c r="C14" s="2">
        <f t="shared" si="0"/>
        <v>13</v>
      </c>
      <c r="D14" s="2">
        <v>19</v>
      </c>
      <c r="E14" s="2">
        <f t="shared" si="1"/>
        <v>2.33</v>
      </c>
      <c r="F14" s="2">
        <v>37</v>
      </c>
      <c r="G14" s="2">
        <f t="shared" si="2"/>
        <v>8.49</v>
      </c>
      <c r="H14" s="2" t="b">
        <f t="shared" si="3"/>
        <v>1</v>
      </c>
      <c r="I14" s="35">
        <f t="shared" si="4"/>
        <v>72.599999999999994</v>
      </c>
      <c r="J14" s="35">
        <f t="shared" si="5"/>
        <v>79</v>
      </c>
      <c r="K14" s="35">
        <f t="shared" si="6"/>
        <v>79.400000000000006</v>
      </c>
      <c r="L14" s="35">
        <f t="shared" si="7"/>
        <v>92.8</v>
      </c>
      <c r="M14" s="11">
        <f t="shared" si="8"/>
        <v>21</v>
      </c>
      <c r="N14" s="11" t="b">
        <f t="shared" si="9"/>
        <v>1</v>
      </c>
      <c r="O14" s="2">
        <f t="shared" si="10"/>
        <v>11.05</v>
      </c>
      <c r="P14" s="11">
        <f t="shared" si="11"/>
        <v>10.6</v>
      </c>
      <c r="Q14" s="11">
        <f t="shared" si="12"/>
        <v>22.89</v>
      </c>
      <c r="R14" s="11">
        <f t="shared" si="13"/>
        <v>22</v>
      </c>
      <c r="S14" s="11">
        <f t="shared" si="14"/>
        <v>29.85</v>
      </c>
      <c r="T14" s="11">
        <f t="shared" si="15"/>
        <v>28</v>
      </c>
      <c r="U14" s="2">
        <f t="shared" si="16"/>
        <v>15.08</v>
      </c>
      <c r="V14" s="11">
        <f t="shared" si="17"/>
        <v>4.3</v>
      </c>
      <c r="W14" s="11">
        <f t="shared" si="18"/>
        <v>33.590000000000003</v>
      </c>
      <c r="X14" s="11">
        <f t="shared" si="19"/>
        <v>13</v>
      </c>
      <c r="Y14" s="11">
        <f t="shared" si="20"/>
        <v>56.52</v>
      </c>
      <c r="Z14" s="11">
        <f t="shared" si="21"/>
        <v>22</v>
      </c>
      <c r="AA14" s="2">
        <f t="shared" si="22"/>
        <v>18.920000000000002</v>
      </c>
      <c r="AB14" s="11">
        <f t="shared" si="23"/>
        <v>2.7</v>
      </c>
      <c r="AC14" s="11">
        <f t="shared" si="24"/>
        <v>38.03</v>
      </c>
      <c r="AD14" s="11">
        <f t="shared" si="25"/>
        <v>24</v>
      </c>
      <c r="AE14" s="11">
        <f t="shared" si="26"/>
        <v>38.71</v>
      </c>
      <c r="AF14" s="11">
        <f t="shared" si="27"/>
        <v>27</v>
      </c>
      <c r="AG14" s="2">
        <f t="shared" si="28"/>
        <v>23.64</v>
      </c>
      <c r="AH14" s="11">
        <f t="shared" si="29"/>
        <v>3.6</v>
      </c>
      <c r="AI14" s="11">
        <f t="shared" si="30"/>
        <v>20.57</v>
      </c>
      <c r="AJ14" s="11">
        <f t="shared" si="31"/>
        <v>12</v>
      </c>
      <c r="AK14" s="11">
        <f t="shared" si="32"/>
        <v>20</v>
      </c>
      <c r="AL14" s="2">
        <f t="shared" si="33"/>
        <v>14.93</v>
      </c>
      <c r="AM14" s="2">
        <f t="shared" si="34"/>
        <v>54.08</v>
      </c>
      <c r="AN14" s="2">
        <f t="shared" si="35"/>
        <v>9.83</v>
      </c>
    </row>
    <row r="15" spans="1:45" x14ac:dyDescent="0.25">
      <c r="A15" s="13">
        <v>14</v>
      </c>
      <c r="B15" s="2" t="s">
        <v>119</v>
      </c>
      <c r="C15" s="2">
        <f t="shared" si="0"/>
        <v>14</v>
      </c>
      <c r="D15" s="2">
        <v>63</v>
      </c>
      <c r="E15" s="2">
        <f t="shared" si="1"/>
        <v>8.01</v>
      </c>
      <c r="F15" s="2">
        <v>27</v>
      </c>
      <c r="G15" s="2">
        <f t="shared" si="2"/>
        <v>6.13</v>
      </c>
      <c r="H15" s="2" t="b">
        <f t="shared" si="3"/>
        <v>0</v>
      </c>
      <c r="I15" s="35">
        <f t="shared" si="4"/>
        <v>93</v>
      </c>
      <c r="J15" s="35">
        <f t="shared" si="5"/>
        <v>74.7</v>
      </c>
      <c r="K15" s="35">
        <f t="shared" si="6"/>
        <v>100</v>
      </c>
      <c r="L15" s="35">
        <f t="shared" si="7"/>
        <v>98.2</v>
      </c>
      <c r="M15" s="11">
        <f t="shared" si="8"/>
        <v>15</v>
      </c>
      <c r="N15" s="11" t="b">
        <f t="shared" si="9"/>
        <v>1</v>
      </c>
      <c r="O15" s="2">
        <f t="shared" si="10"/>
        <v>7.73</v>
      </c>
      <c r="P15" s="11">
        <f t="shared" si="11"/>
        <v>11.7</v>
      </c>
      <c r="Q15" s="11">
        <f t="shared" si="12"/>
        <v>25.27</v>
      </c>
      <c r="R15" s="11">
        <f t="shared" si="13"/>
        <v>17</v>
      </c>
      <c r="S15" s="11">
        <f t="shared" si="14"/>
        <v>22.39</v>
      </c>
      <c r="T15" s="11">
        <f t="shared" si="15"/>
        <v>9</v>
      </c>
      <c r="U15" s="2">
        <f t="shared" si="16"/>
        <v>4.47</v>
      </c>
      <c r="V15" s="11">
        <f t="shared" si="17"/>
        <v>8</v>
      </c>
      <c r="W15" s="11">
        <f t="shared" si="18"/>
        <v>62.5</v>
      </c>
      <c r="X15" s="11">
        <f t="shared" si="19"/>
        <v>10</v>
      </c>
      <c r="Y15" s="11">
        <f t="shared" si="20"/>
        <v>43.48</v>
      </c>
      <c r="Z15" s="11">
        <f t="shared" si="21"/>
        <v>20</v>
      </c>
      <c r="AA15" s="2">
        <f t="shared" si="22"/>
        <v>17.12</v>
      </c>
      <c r="AB15" s="11">
        <f t="shared" si="23"/>
        <v>2.8</v>
      </c>
      <c r="AC15" s="11">
        <f t="shared" si="24"/>
        <v>39.44</v>
      </c>
      <c r="AD15" s="11">
        <f t="shared" si="25"/>
        <v>20</v>
      </c>
      <c r="AE15" s="11">
        <f t="shared" si="26"/>
        <v>32.26</v>
      </c>
      <c r="AF15" s="11">
        <f t="shared" si="27"/>
        <v>58</v>
      </c>
      <c r="AG15" s="2">
        <f t="shared" si="28"/>
        <v>51.82</v>
      </c>
      <c r="AH15" s="11">
        <f t="shared" si="29"/>
        <v>1.9</v>
      </c>
      <c r="AI15" s="11">
        <f t="shared" si="30"/>
        <v>10.86</v>
      </c>
      <c r="AJ15" s="11">
        <f t="shared" si="31"/>
        <v>4</v>
      </c>
      <c r="AK15" s="11">
        <f t="shared" si="32"/>
        <v>6.67</v>
      </c>
      <c r="AL15" s="2">
        <f t="shared" si="33"/>
        <v>15.1</v>
      </c>
      <c r="AM15" s="2">
        <f t="shared" si="34"/>
        <v>61.26</v>
      </c>
      <c r="AN15" s="2">
        <f t="shared" si="35"/>
        <v>10.09</v>
      </c>
      <c r="AO15" s="6"/>
      <c r="AP15" s="6"/>
      <c r="AQ15" s="6"/>
      <c r="AR15" s="6"/>
      <c r="AS15" s="6"/>
    </row>
    <row r="16" spans="1:45" x14ac:dyDescent="0.25">
      <c r="A16" s="13">
        <v>15</v>
      </c>
      <c r="B16" s="2" t="s">
        <v>379</v>
      </c>
      <c r="C16" s="2">
        <f t="shared" si="0"/>
        <v>15</v>
      </c>
      <c r="D16" s="2">
        <v>41</v>
      </c>
      <c r="E16" s="2">
        <f t="shared" si="1"/>
        <v>5.17</v>
      </c>
      <c r="F16" s="2">
        <v>45</v>
      </c>
      <c r="G16" s="2">
        <f t="shared" si="2"/>
        <v>10.38</v>
      </c>
      <c r="H16" s="2" t="b">
        <f t="shared" si="3"/>
        <v>1</v>
      </c>
      <c r="I16" s="35">
        <f t="shared" si="4"/>
        <v>71.099999999999994</v>
      </c>
      <c r="J16" s="35">
        <f t="shared" si="5"/>
        <v>66.8</v>
      </c>
      <c r="K16" s="35">
        <f t="shared" si="6"/>
        <v>87.4</v>
      </c>
      <c r="L16" s="35">
        <f t="shared" si="7"/>
        <v>96.4</v>
      </c>
      <c r="M16" s="11">
        <f t="shared" si="8"/>
        <v>45</v>
      </c>
      <c r="N16" s="11" t="b">
        <f t="shared" si="9"/>
        <v>1</v>
      </c>
      <c r="O16" s="2">
        <f t="shared" si="10"/>
        <v>24.31</v>
      </c>
      <c r="P16" s="11">
        <f t="shared" si="11"/>
        <v>6</v>
      </c>
      <c r="Q16" s="11">
        <f t="shared" si="12"/>
        <v>12.96</v>
      </c>
      <c r="R16" s="11">
        <f t="shared" si="13"/>
        <v>19</v>
      </c>
      <c r="S16" s="11">
        <f t="shared" si="14"/>
        <v>25.37</v>
      </c>
      <c r="T16" s="11">
        <f t="shared" si="15"/>
        <v>11</v>
      </c>
      <c r="U16" s="2">
        <f t="shared" si="16"/>
        <v>5.59</v>
      </c>
      <c r="V16" s="11">
        <f t="shared" si="17"/>
        <v>7.5</v>
      </c>
      <c r="W16" s="11">
        <f t="shared" si="18"/>
        <v>58.59</v>
      </c>
      <c r="X16" s="11">
        <f t="shared" si="19"/>
        <v>9</v>
      </c>
      <c r="Y16" s="11">
        <f t="shared" si="20"/>
        <v>39.130000000000003</v>
      </c>
      <c r="Z16" s="11">
        <f t="shared" si="21"/>
        <v>9</v>
      </c>
      <c r="AA16" s="2">
        <f t="shared" si="22"/>
        <v>7.21</v>
      </c>
      <c r="AB16" s="11">
        <f t="shared" si="23"/>
        <v>4.2</v>
      </c>
      <c r="AC16" s="11">
        <f t="shared" si="24"/>
        <v>59.15</v>
      </c>
      <c r="AD16" s="11">
        <f t="shared" si="25"/>
        <v>28</v>
      </c>
      <c r="AE16" s="11">
        <f t="shared" si="26"/>
        <v>45.16</v>
      </c>
      <c r="AF16" s="11">
        <f t="shared" si="27"/>
        <v>32</v>
      </c>
      <c r="AG16" s="2">
        <f t="shared" si="28"/>
        <v>28.18</v>
      </c>
      <c r="AH16" s="11">
        <f t="shared" si="29"/>
        <v>3.3</v>
      </c>
      <c r="AI16" s="11">
        <f t="shared" si="30"/>
        <v>18.86</v>
      </c>
      <c r="AJ16" s="11">
        <f t="shared" si="31"/>
        <v>10</v>
      </c>
      <c r="AK16" s="11">
        <f t="shared" si="32"/>
        <v>16.670000000000002</v>
      </c>
      <c r="AL16" s="2">
        <f t="shared" si="33"/>
        <v>18.579999999999998</v>
      </c>
      <c r="AM16" s="2">
        <f t="shared" si="34"/>
        <v>54.94</v>
      </c>
      <c r="AN16" s="2">
        <f t="shared" si="35"/>
        <v>12.62</v>
      </c>
      <c r="AO16" s="6"/>
      <c r="AP16" s="6"/>
      <c r="AQ16" s="6"/>
      <c r="AR16" s="6"/>
      <c r="AS16" s="6"/>
    </row>
    <row r="17" spans="1:45" x14ac:dyDescent="0.25">
      <c r="A17" s="13">
        <v>17</v>
      </c>
      <c r="B17" s="2" t="s">
        <v>123</v>
      </c>
      <c r="C17" s="2">
        <f t="shared" si="0"/>
        <v>16</v>
      </c>
      <c r="D17" s="2">
        <v>115</v>
      </c>
      <c r="E17" s="2">
        <f t="shared" si="1"/>
        <v>14.73</v>
      </c>
      <c r="F17" s="2">
        <v>47</v>
      </c>
      <c r="G17" s="2">
        <f t="shared" si="2"/>
        <v>10.85</v>
      </c>
      <c r="H17" s="2" t="b">
        <f t="shared" si="3"/>
        <v>0</v>
      </c>
      <c r="I17" s="35">
        <f t="shared" si="4"/>
        <v>69.8</v>
      </c>
      <c r="J17" s="35">
        <f t="shared" si="5"/>
        <v>69.7</v>
      </c>
      <c r="K17" s="35">
        <f t="shared" si="6"/>
        <v>88.5</v>
      </c>
      <c r="L17" s="35">
        <f t="shared" si="7"/>
        <v>92.9</v>
      </c>
      <c r="M17" s="11">
        <f t="shared" si="8"/>
        <v>16</v>
      </c>
      <c r="N17" s="11" t="b">
        <f t="shared" si="9"/>
        <v>1</v>
      </c>
      <c r="O17" s="2">
        <f t="shared" si="10"/>
        <v>8.2899999999999991</v>
      </c>
      <c r="P17" s="11">
        <f t="shared" si="11"/>
        <v>11.3</v>
      </c>
      <c r="Q17" s="11">
        <f t="shared" si="12"/>
        <v>24.41</v>
      </c>
      <c r="R17" s="11">
        <f t="shared" si="13"/>
        <v>24</v>
      </c>
      <c r="S17" s="11">
        <f t="shared" si="14"/>
        <v>32.840000000000003</v>
      </c>
      <c r="T17" s="11">
        <f t="shared" si="15"/>
        <v>36</v>
      </c>
      <c r="U17" s="2">
        <f t="shared" si="16"/>
        <v>19.55</v>
      </c>
      <c r="V17" s="11">
        <f t="shared" si="17"/>
        <v>3.7</v>
      </c>
      <c r="W17" s="11">
        <f t="shared" si="18"/>
        <v>28.91</v>
      </c>
      <c r="X17" s="11">
        <f t="shared" si="19"/>
        <v>8</v>
      </c>
      <c r="Y17" s="11">
        <f t="shared" si="20"/>
        <v>34.78</v>
      </c>
      <c r="Z17" s="11">
        <f t="shared" si="21"/>
        <v>18</v>
      </c>
      <c r="AA17" s="2">
        <f t="shared" si="22"/>
        <v>15.32</v>
      </c>
      <c r="AB17" s="11">
        <f t="shared" si="23"/>
        <v>2.9</v>
      </c>
      <c r="AC17" s="11">
        <f t="shared" si="24"/>
        <v>40.85</v>
      </c>
      <c r="AD17" s="11">
        <f t="shared" si="25"/>
        <v>18</v>
      </c>
      <c r="AE17" s="11">
        <f t="shared" si="26"/>
        <v>29.03</v>
      </c>
      <c r="AF17" s="11">
        <f t="shared" si="27"/>
        <v>27</v>
      </c>
      <c r="AG17" s="2">
        <f t="shared" si="28"/>
        <v>23.64</v>
      </c>
      <c r="AH17" s="11">
        <f t="shared" si="29"/>
        <v>3.6</v>
      </c>
      <c r="AI17" s="11">
        <f t="shared" si="30"/>
        <v>20.57</v>
      </c>
      <c r="AJ17" s="11">
        <f t="shared" si="31"/>
        <v>12</v>
      </c>
      <c r="AK17" s="11">
        <f t="shared" si="32"/>
        <v>20</v>
      </c>
      <c r="AL17" s="2">
        <f t="shared" si="33"/>
        <v>13.9</v>
      </c>
      <c r="AM17" s="2">
        <f t="shared" si="34"/>
        <v>55.64</v>
      </c>
      <c r="AN17" s="2">
        <f t="shared" si="35"/>
        <v>12.85</v>
      </c>
      <c r="AO17" s="6"/>
      <c r="AP17" s="6"/>
      <c r="AQ17" s="6"/>
      <c r="AR17" s="6"/>
      <c r="AS17" s="6"/>
    </row>
    <row r="18" spans="1:45" x14ac:dyDescent="0.25">
      <c r="A18" s="13">
        <v>22</v>
      </c>
      <c r="B18" s="2" t="s">
        <v>380</v>
      </c>
      <c r="C18" s="2">
        <f t="shared" si="0"/>
        <v>17</v>
      </c>
      <c r="D18" s="2">
        <v>126</v>
      </c>
      <c r="E18" s="2">
        <f t="shared" si="1"/>
        <v>16.149999999999999</v>
      </c>
      <c r="F18" s="2">
        <v>75</v>
      </c>
      <c r="G18" s="2">
        <f t="shared" si="2"/>
        <v>17.45</v>
      </c>
      <c r="H18" s="2" t="b">
        <f t="shared" si="3"/>
        <v>0</v>
      </c>
      <c r="I18" s="35">
        <f t="shared" si="4"/>
        <v>74</v>
      </c>
      <c r="J18" s="35">
        <f t="shared" si="5"/>
        <v>59.2</v>
      </c>
      <c r="K18" s="35">
        <f t="shared" si="6"/>
        <v>85.6</v>
      </c>
      <c r="L18" s="35">
        <f t="shared" si="7"/>
        <v>91.7</v>
      </c>
      <c r="M18" s="11">
        <f t="shared" si="8"/>
        <v>13</v>
      </c>
      <c r="N18" s="11" t="b">
        <f t="shared" si="9"/>
        <v>1</v>
      </c>
      <c r="O18" s="2">
        <f t="shared" si="10"/>
        <v>6.63</v>
      </c>
      <c r="P18" s="11">
        <f t="shared" si="11"/>
        <v>12.4</v>
      </c>
      <c r="Q18" s="11">
        <f t="shared" si="12"/>
        <v>26.78</v>
      </c>
      <c r="R18" s="11">
        <f t="shared" si="13"/>
        <v>25</v>
      </c>
      <c r="S18" s="11">
        <f t="shared" si="14"/>
        <v>34.33</v>
      </c>
      <c r="T18" s="11">
        <f t="shared" si="15"/>
        <v>33</v>
      </c>
      <c r="U18" s="2">
        <f t="shared" si="16"/>
        <v>17.88</v>
      </c>
      <c r="V18" s="11">
        <f t="shared" si="17"/>
        <v>3.8</v>
      </c>
      <c r="W18" s="11">
        <f t="shared" si="18"/>
        <v>29.69</v>
      </c>
      <c r="X18" s="11">
        <f t="shared" si="19"/>
        <v>8</v>
      </c>
      <c r="Y18" s="11">
        <f t="shared" si="20"/>
        <v>34.78</v>
      </c>
      <c r="Z18" s="11">
        <f t="shared" si="21"/>
        <v>27</v>
      </c>
      <c r="AA18" s="2">
        <f t="shared" si="22"/>
        <v>23.42</v>
      </c>
      <c r="AB18" s="11">
        <f t="shared" si="23"/>
        <v>2.4</v>
      </c>
      <c r="AC18" s="11">
        <f t="shared" si="24"/>
        <v>33.799999999999997</v>
      </c>
      <c r="AD18" s="11">
        <f t="shared" si="25"/>
        <v>17</v>
      </c>
      <c r="AE18" s="11">
        <f t="shared" si="26"/>
        <v>27.42</v>
      </c>
      <c r="AF18" s="11">
        <f t="shared" si="27"/>
        <v>9</v>
      </c>
      <c r="AG18" s="2">
        <f t="shared" si="28"/>
        <v>7.27</v>
      </c>
      <c r="AH18" s="11">
        <f t="shared" si="29"/>
        <v>7.8</v>
      </c>
      <c r="AI18" s="11">
        <f t="shared" si="30"/>
        <v>44.57</v>
      </c>
      <c r="AJ18" s="11">
        <f t="shared" si="31"/>
        <v>15</v>
      </c>
      <c r="AK18" s="11">
        <f t="shared" si="32"/>
        <v>25</v>
      </c>
      <c r="AL18" s="2">
        <f t="shared" si="33"/>
        <v>11.49</v>
      </c>
      <c r="AM18" s="2">
        <f t="shared" si="34"/>
        <v>56.7</v>
      </c>
      <c r="AN18" s="2">
        <f t="shared" si="35"/>
        <v>14.81</v>
      </c>
      <c r="AO18" s="6"/>
      <c r="AP18" s="6"/>
      <c r="AQ18" s="6"/>
      <c r="AR18" s="6"/>
      <c r="AS18" s="6"/>
    </row>
    <row r="19" spans="1:45" x14ac:dyDescent="0.25">
      <c r="A19" s="13">
        <v>16</v>
      </c>
      <c r="B19" s="2" t="s">
        <v>115</v>
      </c>
      <c r="C19" s="2">
        <f t="shared" si="0"/>
        <v>18</v>
      </c>
      <c r="D19" s="2">
        <v>13</v>
      </c>
      <c r="E19" s="2">
        <f t="shared" si="1"/>
        <v>1.55</v>
      </c>
      <c r="F19" s="2">
        <v>8</v>
      </c>
      <c r="G19" s="2">
        <f t="shared" si="2"/>
        <v>1.65</v>
      </c>
      <c r="H19" s="2" t="b">
        <f t="shared" si="3"/>
        <v>0</v>
      </c>
      <c r="I19" s="35">
        <f t="shared" si="4"/>
        <v>81.8</v>
      </c>
      <c r="J19" s="35">
        <f t="shared" si="5"/>
        <v>83.5</v>
      </c>
      <c r="K19" s="35">
        <f t="shared" si="6"/>
        <v>90.6</v>
      </c>
      <c r="L19" s="35">
        <f t="shared" si="7"/>
        <v>99.5</v>
      </c>
      <c r="M19" s="11">
        <f t="shared" si="8"/>
        <v>89</v>
      </c>
      <c r="N19" s="11" t="b">
        <f t="shared" si="9"/>
        <v>1</v>
      </c>
      <c r="O19" s="2">
        <f t="shared" si="10"/>
        <v>48.62</v>
      </c>
      <c r="P19" s="11">
        <f t="shared" si="11"/>
        <v>4</v>
      </c>
      <c r="Q19" s="11">
        <f t="shared" si="12"/>
        <v>8.64</v>
      </c>
      <c r="R19" s="11">
        <f t="shared" si="13"/>
        <v>22</v>
      </c>
      <c r="S19" s="11">
        <f t="shared" si="14"/>
        <v>29.85</v>
      </c>
      <c r="T19" s="11">
        <f t="shared" si="15"/>
        <v>5</v>
      </c>
      <c r="U19" s="2">
        <f t="shared" si="16"/>
        <v>2.23</v>
      </c>
      <c r="V19" s="11">
        <f t="shared" si="17"/>
        <v>9.5</v>
      </c>
      <c r="W19" s="11">
        <f t="shared" si="18"/>
        <v>74.22</v>
      </c>
      <c r="X19" s="11">
        <f t="shared" si="19"/>
        <v>15</v>
      </c>
      <c r="Y19" s="11">
        <f t="shared" si="20"/>
        <v>65.22</v>
      </c>
      <c r="Z19" s="11">
        <f t="shared" si="21"/>
        <v>13</v>
      </c>
      <c r="AA19" s="2">
        <f t="shared" si="22"/>
        <v>10.81</v>
      </c>
      <c r="AB19" s="11">
        <f t="shared" si="23"/>
        <v>3.4</v>
      </c>
      <c r="AC19" s="11">
        <f t="shared" si="24"/>
        <v>47.89</v>
      </c>
      <c r="AD19" s="11">
        <f t="shared" si="25"/>
        <v>22</v>
      </c>
      <c r="AE19" s="11">
        <f t="shared" si="26"/>
        <v>35.479999999999997</v>
      </c>
      <c r="AF19" s="11">
        <f t="shared" si="27"/>
        <v>68</v>
      </c>
      <c r="AG19" s="2">
        <f t="shared" si="28"/>
        <v>60.91</v>
      </c>
      <c r="AH19" s="11">
        <f t="shared" si="29"/>
        <v>1.6</v>
      </c>
      <c r="AI19" s="11">
        <f t="shared" si="30"/>
        <v>9.14</v>
      </c>
      <c r="AJ19" s="11">
        <f t="shared" si="31"/>
        <v>5</v>
      </c>
      <c r="AK19" s="11">
        <f t="shared" si="32"/>
        <v>8.33</v>
      </c>
      <c r="AL19" s="2">
        <f t="shared" si="33"/>
        <v>35.51</v>
      </c>
      <c r="AM19" s="2">
        <f t="shared" si="34"/>
        <v>57.43</v>
      </c>
      <c r="AN19" s="2">
        <f t="shared" si="35"/>
        <v>15.17</v>
      </c>
      <c r="AO19" s="6"/>
      <c r="AP19" s="6"/>
      <c r="AQ19" s="6"/>
      <c r="AR19" s="6"/>
      <c r="AS19" s="6"/>
    </row>
    <row r="20" spans="1:45" x14ac:dyDescent="0.25">
      <c r="A20" s="13">
        <v>20</v>
      </c>
      <c r="B20" s="2" t="s">
        <v>11</v>
      </c>
      <c r="C20" s="2">
        <f t="shared" si="0"/>
        <v>19</v>
      </c>
      <c r="D20" s="2">
        <v>43</v>
      </c>
      <c r="E20" s="2">
        <f t="shared" si="1"/>
        <v>5.43</v>
      </c>
      <c r="F20" s="2">
        <v>33</v>
      </c>
      <c r="G20" s="2">
        <f t="shared" si="2"/>
        <v>7.55</v>
      </c>
      <c r="H20" s="2" t="b">
        <f t="shared" si="3"/>
        <v>0</v>
      </c>
      <c r="I20" s="35">
        <f t="shared" si="4"/>
        <v>75</v>
      </c>
      <c r="J20" s="35">
        <f t="shared" si="5"/>
        <v>76.099999999999994</v>
      </c>
      <c r="K20" s="35">
        <f t="shared" si="6"/>
        <v>81.7</v>
      </c>
      <c r="L20" s="35">
        <f t="shared" si="7"/>
        <v>96.6</v>
      </c>
      <c r="M20" s="11">
        <f t="shared" si="8"/>
        <v>75</v>
      </c>
      <c r="N20" s="11" t="b">
        <f t="shared" si="9"/>
        <v>1</v>
      </c>
      <c r="O20" s="2">
        <f t="shared" si="10"/>
        <v>40.880000000000003</v>
      </c>
      <c r="P20" s="11">
        <f t="shared" si="11"/>
        <v>4.5999999999999996</v>
      </c>
      <c r="Q20" s="11">
        <f t="shared" si="12"/>
        <v>9.94</v>
      </c>
      <c r="R20" s="11">
        <f t="shared" si="13"/>
        <v>17</v>
      </c>
      <c r="S20" s="11">
        <f t="shared" si="14"/>
        <v>22.39</v>
      </c>
      <c r="T20" s="11">
        <f t="shared" si="15"/>
        <v>13</v>
      </c>
      <c r="U20" s="2">
        <f t="shared" si="16"/>
        <v>6.7</v>
      </c>
      <c r="V20" s="11">
        <f t="shared" si="17"/>
        <v>7.3</v>
      </c>
      <c r="W20" s="11">
        <f t="shared" si="18"/>
        <v>57.03</v>
      </c>
      <c r="X20" s="11">
        <f t="shared" si="19"/>
        <v>10</v>
      </c>
      <c r="Y20" s="11">
        <f t="shared" si="20"/>
        <v>43.48</v>
      </c>
      <c r="Z20" s="11">
        <f t="shared" si="21"/>
        <v>30</v>
      </c>
      <c r="AA20" s="2">
        <f t="shared" si="22"/>
        <v>26.13</v>
      </c>
      <c r="AB20" s="11">
        <f t="shared" si="23"/>
        <v>2.1</v>
      </c>
      <c r="AC20" s="11">
        <f t="shared" si="24"/>
        <v>29.58</v>
      </c>
      <c r="AD20" s="11">
        <f t="shared" si="25"/>
        <v>18</v>
      </c>
      <c r="AE20" s="11">
        <f t="shared" si="26"/>
        <v>29.03</v>
      </c>
      <c r="AF20" s="11">
        <f t="shared" si="27"/>
        <v>29</v>
      </c>
      <c r="AG20" s="2">
        <f t="shared" si="28"/>
        <v>25.45</v>
      </c>
      <c r="AH20" s="11">
        <f t="shared" si="29"/>
        <v>3.4</v>
      </c>
      <c r="AI20" s="11">
        <f t="shared" si="30"/>
        <v>19.43</v>
      </c>
      <c r="AJ20" s="11">
        <f t="shared" si="31"/>
        <v>9</v>
      </c>
      <c r="AK20" s="11">
        <f t="shared" si="32"/>
        <v>15</v>
      </c>
      <c r="AL20" s="2">
        <f t="shared" si="33"/>
        <v>29.52</v>
      </c>
      <c r="AM20" s="2">
        <f t="shared" si="34"/>
        <v>52.58</v>
      </c>
      <c r="AN20" s="2">
        <f t="shared" si="35"/>
        <v>15.91</v>
      </c>
      <c r="AO20" s="6"/>
      <c r="AP20" s="6"/>
      <c r="AQ20" s="6"/>
      <c r="AR20" s="6"/>
      <c r="AS20" s="6"/>
    </row>
    <row r="21" spans="1:45" x14ac:dyDescent="0.25">
      <c r="A21" s="13">
        <v>18</v>
      </c>
      <c r="B21" s="2" t="s">
        <v>19</v>
      </c>
      <c r="C21" s="2">
        <f t="shared" si="0"/>
        <v>20</v>
      </c>
      <c r="D21" s="2">
        <v>11</v>
      </c>
      <c r="E21" s="2">
        <f t="shared" si="1"/>
        <v>1.29</v>
      </c>
      <c r="F21" s="2">
        <v>10</v>
      </c>
      <c r="G21" s="2">
        <f t="shared" si="2"/>
        <v>2.12</v>
      </c>
      <c r="H21" s="2" t="b">
        <f t="shared" si="3"/>
        <v>0</v>
      </c>
      <c r="I21" s="35">
        <f t="shared" si="4"/>
        <v>77.400000000000006</v>
      </c>
      <c r="J21" s="35">
        <f t="shared" si="5"/>
        <v>89.8</v>
      </c>
      <c r="K21" s="35">
        <f t="shared" si="6"/>
        <v>85.1</v>
      </c>
      <c r="L21" s="35">
        <f t="shared" si="7"/>
        <v>89.5</v>
      </c>
      <c r="M21" s="11">
        <f t="shared" si="8"/>
        <v>10</v>
      </c>
      <c r="N21" s="11" t="b">
        <f t="shared" si="9"/>
        <v>1</v>
      </c>
      <c r="O21" s="2">
        <f t="shared" si="10"/>
        <v>4.97</v>
      </c>
      <c r="P21" s="11">
        <f t="shared" si="11"/>
        <v>13.9</v>
      </c>
      <c r="Q21" s="11">
        <f t="shared" si="12"/>
        <v>30.02</v>
      </c>
      <c r="R21" s="11">
        <f t="shared" si="13"/>
        <v>33</v>
      </c>
      <c r="S21" s="11">
        <f t="shared" si="14"/>
        <v>46.27</v>
      </c>
      <c r="T21" s="11">
        <f t="shared" si="15"/>
        <v>46</v>
      </c>
      <c r="U21" s="2">
        <f t="shared" si="16"/>
        <v>25.14</v>
      </c>
      <c r="V21" s="11">
        <f t="shared" si="17"/>
        <v>3.1</v>
      </c>
      <c r="W21" s="11">
        <f t="shared" si="18"/>
        <v>24.22</v>
      </c>
      <c r="X21" s="11">
        <f t="shared" si="19"/>
        <v>10</v>
      </c>
      <c r="Y21" s="11">
        <f t="shared" si="20"/>
        <v>43.48</v>
      </c>
      <c r="Z21" s="11">
        <v>112</v>
      </c>
      <c r="AA21" s="2">
        <f t="shared" si="22"/>
        <v>100</v>
      </c>
      <c r="AB21" s="11">
        <v>0</v>
      </c>
      <c r="AC21" s="11">
        <f t="shared" si="24"/>
        <v>0</v>
      </c>
      <c r="AD21" s="11">
        <v>0</v>
      </c>
      <c r="AE21" s="11">
        <f t="shared" si="26"/>
        <v>0</v>
      </c>
      <c r="AF21" s="11">
        <v>111</v>
      </c>
      <c r="AG21" s="2">
        <f t="shared" si="28"/>
        <v>100</v>
      </c>
      <c r="AH21" s="11">
        <v>0</v>
      </c>
      <c r="AI21" s="11">
        <f t="shared" si="30"/>
        <v>0</v>
      </c>
      <c r="AJ21" s="11">
        <v>0</v>
      </c>
      <c r="AK21" s="11">
        <f t="shared" si="32"/>
        <v>0</v>
      </c>
      <c r="AL21" s="2">
        <f t="shared" si="33"/>
        <v>37.51</v>
      </c>
      <c r="AM21" s="2">
        <f t="shared" si="34"/>
        <v>55.91</v>
      </c>
      <c r="AN21" s="2">
        <f t="shared" si="35"/>
        <v>16.11</v>
      </c>
    </row>
    <row r="22" spans="1:45" x14ac:dyDescent="0.25">
      <c r="A22" s="13">
        <v>19</v>
      </c>
      <c r="B22" s="2" t="s">
        <v>43</v>
      </c>
      <c r="C22" s="2">
        <f t="shared" si="0"/>
        <v>21</v>
      </c>
      <c r="D22" s="2">
        <v>5</v>
      </c>
      <c r="E22" s="2">
        <f t="shared" si="1"/>
        <v>0.52</v>
      </c>
      <c r="F22" s="2">
        <v>7</v>
      </c>
      <c r="G22" s="2">
        <f t="shared" si="2"/>
        <v>1.42</v>
      </c>
      <c r="H22" s="2" t="b">
        <f t="shared" si="3"/>
        <v>1</v>
      </c>
      <c r="I22" s="35">
        <f t="shared" si="4"/>
        <v>81</v>
      </c>
      <c r="J22" s="35">
        <f t="shared" si="5"/>
        <v>97.3</v>
      </c>
      <c r="K22" s="35">
        <f t="shared" si="6"/>
        <v>81.2</v>
      </c>
      <c r="L22" s="35">
        <f t="shared" si="7"/>
        <v>91.9</v>
      </c>
      <c r="M22" s="11">
        <f t="shared" si="8"/>
        <v>33</v>
      </c>
      <c r="N22" s="11" t="b">
        <f t="shared" si="9"/>
        <v>1</v>
      </c>
      <c r="O22" s="2">
        <f t="shared" si="10"/>
        <v>17.68</v>
      </c>
      <c r="P22" s="11">
        <f t="shared" si="11"/>
        <v>8</v>
      </c>
      <c r="Q22" s="11">
        <f t="shared" si="12"/>
        <v>17.28</v>
      </c>
      <c r="R22" s="11">
        <f t="shared" si="13"/>
        <v>25</v>
      </c>
      <c r="S22" s="11">
        <f t="shared" si="14"/>
        <v>34.33</v>
      </c>
      <c r="T22" s="11">
        <f t="shared" si="15"/>
        <v>15</v>
      </c>
      <c r="U22" s="2">
        <f t="shared" si="16"/>
        <v>7.82</v>
      </c>
      <c r="V22" s="11">
        <f t="shared" si="17"/>
        <v>6.1</v>
      </c>
      <c r="W22" s="11">
        <f t="shared" si="18"/>
        <v>47.66</v>
      </c>
      <c r="X22" s="11">
        <f t="shared" si="19"/>
        <v>23</v>
      </c>
      <c r="Y22" s="11">
        <f t="shared" si="20"/>
        <v>100</v>
      </c>
      <c r="Z22" s="11">
        <v>112</v>
      </c>
      <c r="AA22" s="2">
        <f t="shared" si="22"/>
        <v>100</v>
      </c>
      <c r="AB22" s="11">
        <v>0</v>
      </c>
      <c r="AC22" s="11">
        <f t="shared" si="24"/>
        <v>0</v>
      </c>
      <c r="AD22" s="11">
        <v>0</v>
      </c>
      <c r="AE22" s="11">
        <f t="shared" si="26"/>
        <v>0</v>
      </c>
      <c r="AF22" s="11">
        <v>111</v>
      </c>
      <c r="AG22" s="2">
        <f t="shared" si="28"/>
        <v>100</v>
      </c>
      <c r="AH22" s="11">
        <v>0</v>
      </c>
      <c r="AI22" s="11">
        <f t="shared" si="30"/>
        <v>0</v>
      </c>
      <c r="AJ22" s="11">
        <v>0</v>
      </c>
      <c r="AK22" s="11">
        <f t="shared" si="32"/>
        <v>0</v>
      </c>
      <c r="AL22" s="2">
        <f t="shared" si="33"/>
        <v>40.4</v>
      </c>
      <c r="AM22" s="2">
        <f t="shared" si="34"/>
        <v>52.87</v>
      </c>
      <c r="AN22" s="2">
        <f t="shared" si="35"/>
        <v>16.829999999999998</v>
      </c>
    </row>
    <row r="23" spans="1:45" x14ac:dyDescent="0.25">
      <c r="A23" s="13">
        <v>23</v>
      </c>
      <c r="B23" s="38" t="s">
        <v>375</v>
      </c>
      <c r="C23" s="2">
        <f t="shared" si="0"/>
        <v>22</v>
      </c>
      <c r="D23" s="2">
        <v>53</v>
      </c>
      <c r="E23" s="2">
        <f t="shared" si="1"/>
        <v>6.72</v>
      </c>
      <c r="F23" s="2">
        <v>75</v>
      </c>
      <c r="G23" s="2">
        <f t="shared" si="2"/>
        <v>17.45</v>
      </c>
      <c r="H23" s="2" t="b">
        <f t="shared" si="3"/>
        <v>1</v>
      </c>
      <c r="I23" s="35">
        <f t="shared" si="4"/>
        <v>58.8</v>
      </c>
      <c r="J23" s="35">
        <f t="shared" si="5"/>
        <v>69.099999999999994</v>
      </c>
      <c r="K23" s="35">
        <f t="shared" si="6"/>
        <v>86.8</v>
      </c>
      <c r="L23" s="35">
        <f t="shared" si="7"/>
        <v>98.7</v>
      </c>
      <c r="M23" s="11">
        <f t="shared" si="8"/>
        <v>59</v>
      </c>
      <c r="N23" s="11" t="b">
        <f t="shared" si="9"/>
        <v>1</v>
      </c>
      <c r="O23" s="2">
        <f t="shared" si="10"/>
        <v>32.04</v>
      </c>
      <c r="P23" s="11">
        <f t="shared" si="11"/>
        <v>5.3</v>
      </c>
      <c r="Q23" s="11">
        <f t="shared" si="12"/>
        <v>11.45</v>
      </c>
      <c r="R23" s="11">
        <f t="shared" si="13"/>
        <v>20</v>
      </c>
      <c r="S23" s="11">
        <f t="shared" si="14"/>
        <v>26.87</v>
      </c>
      <c r="T23" s="11">
        <f t="shared" si="15"/>
        <v>24</v>
      </c>
      <c r="U23" s="2">
        <f t="shared" si="16"/>
        <v>12.85</v>
      </c>
      <c r="V23" s="11">
        <f t="shared" si="17"/>
        <v>4.8</v>
      </c>
      <c r="W23" s="11">
        <f t="shared" si="18"/>
        <v>37.5</v>
      </c>
      <c r="X23" s="11">
        <f t="shared" si="19"/>
        <v>9</v>
      </c>
      <c r="Y23" s="11">
        <f t="shared" si="20"/>
        <v>39.130000000000003</v>
      </c>
      <c r="Z23" s="11">
        <f>VLOOKUP(B23,Systems_Rank,2,FALSE)</f>
        <v>6</v>
      </c>
      <c r="AA23" s="2">
        <f t="shared" si="22"/>
        <v>4.5</v>
      </c>
      <c r="AB23" s="11">
        <f>VLOOKUP(B23,Systems_Rank,3,FALSE)</f>
        <v>4.5</v>
      </c>
      <c r="AC23" s="11">
        <f t="shared" si="24"/>
        <v>63.38</v>
      </c>
      <c r="AD23" s="11">
        <f>VLOOKUP(B23,Systems_Rank,4,FALSE)</f>
        <v>27</v>
      </c>
      <c r="AE23" s="11">
        <f t="shared" si="26"/>
        <v>43.55</v>
      </c>
      <c r="AF23" s="11">
        <f>VLOOKUP(B23,InterD_Rank,2,FALSE)</f>
        <v>16</v>
      </c>
      <c r="AG23" s="2">
        <f t="shared" si="28"/>
        <v>13.64</v>
      </c>
      <c r="AH23" s="11">
        <f>VLOOKUP(B23,InterD_Rank,3,FALSE)</f>
        <v>4.7</v>
      </c>
      <c r="AI23" s="11">
        <f t="shared" si="30"/>
        <v>26.86</v>
      </c>
      <c r="AJ23" s="11">
        <f>VLOOKUP(B23,InterD_Rank,4,FALSE)</f>
        <v>3</v>
      </c>
      <c r="AK23" s="11">
        <f t="shared" si="32"/>
        <v>5</v>
      </c>
      <c r="AL23" s="2">
        <f t="shared" si="33"/>
        <v>21.31</v>
      </c>
      <c r="AM23" s="2">
        <f t="shared" si="34"/>
        <v>52.45</v>
      </c>
      <c r="AN23" s="2">
        <f t="shared" si="35"/>
        <v>16.850000000000001</v>
      </c>
    </row>
    <row r="24" spans="1:45" x14ac:dyDescent="0.25">
      <c r="A24" s="13">
        <v>21</v>
      </c>
      <c r="B24" s="2" t="s">
        <v>390</v>
      </c>
      <c r="C24" s="2">
        <f t="shared" si="0"/>
        <v>23</v>
      </c>
      <c r="D24" s="2">
        <v>7</v>
      </c>
      <c r="E24" s="2">
        <f t="shared" si="1"/>
        <v>0.78</v>
      </c>
      <c r="F24" s="2">
        <v>9</v>
      </c>
      <c r="G24" s="2">
        <f t="shared" si="2"/>
        <v>1.89</v>
      </c>
      <c r="H24" s="2" t="b">
        <f t="shared" si="3"/>
        <v>1</v>
      </c>
      <c r="I24" s="35">
        <f t="shared" si="4"/>
        <v>81</v>
      </c>
      <c r="J24" s="35">
        <f t="shared" si="5"/>
        <v>81.3</v>
      </c>
      <c r="K24" s="35">
        <f t="shared" si="6"/>
        <v>92</v>
      </c>
      <c r="L24" s="35">
        <f t="shared" si="7"/>
        <v>94.3</v>
      </c>
      <c r="M24" s="11">
        <f t="shared" si="8"/>
        <v>36</v>
      </c>
      <c r="N24" s="11" t="b">
        <f t="shared" si="9"/>
        <v>1</v>
      </c>
      <c r="O24" s="2">
        <f t="shared" si="10"/>
        <v>19.34</v>
      </c>
      <c r="P24" s="11">
        <f t="shared" si="11"/>
        <v>7.1</v>
      </c>
      <c r="Q24" s="11">
        <f t="shared" si="12"/>
        <v>15.33</v>
      </c>
      <c r="R24" s="11">
        <f t="shared" si="13"/>
        <v>16</v>
      </c>
      <c r="S24" s="11">
        <f t="shared" si="14"/>
        <v>20.9</v>
      </c>
      <c r="T24" s="11">
        <f t="shared" si="15"/>
        <v>19</v>
      </c>
      <c r="U24" s="2">
        <f t="shared" si="16"/>
        <v>10.06</v>
      </c>
      <c r="V24" s="11">
        <f t="shared" si="17"/>
        <v>5.9</v>
      </c>
      <c r="W24" s="11">
        <f t="shared" si="18"/>
        <v>46.09</v>
      </c>
      <c r="X24" s="11">
        <f t="shared" si="19"/>
        <v>9</v>
      </c>
      <c r="Y24" s="11">
        <f t="shared" si="20"/>
        <v>39.130000000000003</v>
      </c>
      <c r="Z24" s="11">
        <v>112</v>
      </c>
      <c r="AA24" s="2">
        <f t="shared" si="22"/>
        <v>100</v>
      </c>
      <c r="AB24" s="11">
        <v>0</v>
      </c>
      <c r="AC24" s="11">
        <f t="shared" si="24"/>
        <v>0</v>
      </c>
      <c r="AD24" s="11">
        <v>0</v>
      </c>
      <c r="AE24" s="11">
        <f t="shared" si="26"/>
        <v>0</v>
      </c>
      <c r="AF24" s="11">
        <v>111</v>
      </c>
      <c r="AG24" s="2">
        <f t="shared" si="28"/>
        <v>100</v>
      </c>
      <c r="AH24" s="11">
        <v>0</v>
      </c>
      <c r="AI24" s="11">
        <f t="shared" si="30"/>
        <v>0</v>
      </c>
      <c r="AJ24" s="11">
        <v>0</v>
      </c>
      <c r="AK24" s="11">
        <f t="shared" si="32"/>
        <v>0</v>
      </c>
      <c r="AL24" s="2">
        <f t="shared" si="33"/>
        <v>41.68</v>
      </c>
      <c r="AM24" s="2">
        <f t="shared" si="34"/>
        <v>52.79</v>
      </c>
      <c r="AN24" s="2">
        <f t="shared" si="35"/>
        <v>17.579999999999998</v>
      </c>
    </row>
    <row r="25" spans="1:45" x14ac:dyDescent="0.25">
      <c r="A25" s="13">
        <v>29</v>
      </c>
      <c r="B25" s="38" t="s">
        <v>16</v>
      </c>
      <c r="C25" s="2">
        <f t="shared" si="0"/>
        <v>24</v>
      </c>
      <c r="D25" s="2">
        <v>100</v>
      </c>
      <c r="E25" s="2">
        <f t="shared" si="1"/>
        <v>12.79</v>
      </c>
      <c r="F25" s="2">
        <v>75</v>
      </c>
      <c r="G25" s="2">
        <f t="shared" si="2"/>
        <v>17.45</v>
      </c>
      <c r="H25" s="2" t="b">
        <f t="shared" si="3"/>
        <v>0</v>
      </c>
      <c r="I25" s="35">
        <f t="shared" si="4"/>
        <v>63.3</v>
      </c>
      <c r="J25" s="35">
        <f t="shared" si="5"/>
        <v>74.900000000000006</v>
      </c>
      <c r="K25" s="35">
        <f t="shared" si="6"/>
        <v>82</v>
      </c>
      <c r="L25" s="35">
        <f t="shared" si="7"/>
        <v>87</v>
      </c>
      <c r="M25" s="11">
        <f t="shared" si="8"/>
        <v>40</v>
      </c>
      <c r="N25" s="11" t="b">
        <f t="shared" si="9"/>
        <v>1</v>
      </c>
      <c r="O25" s="2">
        <f t="shared" si="10"/>
        <v>21.55</v>
      </c>
      <c r="P25" s="11">
        <f t="shared" si="11"/>
        <v>6.8</v>
      </c>
      <c r="Q25" s="11">
        <f t="shared" si="12"/>
        <v>14.69</v>
      </c>
      <c r="R25" s="11">
        <f t="shared" si="13"/>
        <v>29</v>
      </c>
      <c r="S25" s="11">
        <f t="shared" si="14"/>
        <v>40.299999999999997</v>
      </c>
      <c r="T25" s="11">
        <f t="shared" si="15"/>
        <v>58</v>
      </c>
      <c r="U25" s="2">
        <f t="shared" si="16"/>
        <v>31.84</v>
      </c>
      <c r="V25" s="11">
        <f t="shared" si="17"/>
        <v>2.7</v>
      </c>
      <c r="W25" s="11">
        <f t="shared" si="18"/>
        <v>21.09</v>
      </c>
      <c r="X25" s="11">
        <f t="shared" si="19"/>
        <v>8</v>
      </c>
      <c r="Y25" s="11">
        <f t="shared" si="20"/>
        <v>34.78</v>
      </c>
      <c r="Z25" s="11">
        <f>VLOOKUP(B25,Systems_Rank,2,FALSE)</f>
        <v>11</v>
      </c>
      <c r="AA25" s="2">
        <f t="shared" si="22"/>
        <v>9.01</v>
      </c>
      <c r="AB25" s="11">
        <f>VLOOKUP(B25,Systems_Rank,3,FALSE)</f>
        <v>3.5</v>
      </c>
      <c r="AC25" s="11">
        <f t="shared" si="24"/>
        <v>49.3</v>
      </c>
      <c r="AD25" s="11">
        <f>VLOOKUP(B25,Systems_Rank,4,FALSE)</f>
        <v>30</v>
      </c>
      <c r="AE25" s="11">
        <f t="shared" si="26"/>
        <v>48.39</v>
      </c>
      <c r="AF25" s="11">
        <f>VLOOKUP(B25,InterD_Rank,2,FALSE)</f>
        <v>68</v>
      </c>
      <c r="AG25" s="2">
        <f t="shared" si="28"/>
        <v>60.91</v>
      </c>
      <c r="AH25" s="11">
        <f>VLOOKUP(B25,InterD_Rank,3,FALSE)</f>
        <v>1.6</v>
      </c>
      <c r="AI25" s="11">
        <f t="shared" si="30"/>
        <v>9.14</v>
      </c>
      <c r="AJ25" s="11">
        <f>VLOOKUP(B25,InterD_Rank,4,FALSE)</f>
        <v>4</v>
      </c>
      <c r="AK25" s="11">
        <f t="shared" si="32"/>
        <v>6.67</v>
      </c>
      <c r="AL25" s="2">
        <f t="shared" si="33"/>
        <v>27.63</v>
      </c>
      <c r="AM25" s="2">
        <f t="shared" si="34"/>
        <v>52.45</v>
      </c>
      <c r="AN25" s="2">
        <f t="shared" si="35"/>
        <v>20.59</v>
      </c>
    </row>
    <row r="26" spans="1:45" x14ac:dyDescent="0.25">
      <c r="A26" s="13">
        <v>24</v>
      </c>
      <c r="B26" s="2" t="s">
        <v>44</v>
      </c>
      <c r="C26" s="2">
        <f t="shared" si="0"/>
        <v>25</v>
      </c>
      <c r="D26" s="2">
        <v>8</v>
      </c>
      <c r="E26" s="2">
        <f t="shared" si="1"/>
        <v>0.9</v>
      </c>
      <c r="F26" s="2">
        <v>12</v>
      </c>
      <c r="G26" s="2">
        <f t="shared" si="2"/>
        <v>2.59</v>
      </c>
      <c r="H26" s="2" t="b">
        <f t="shared" si="3"/>
        <v>1</v>
      </c>
      <c r="I26" s="35">
        <f t="shared" si="4"/>
        <v>78.2</v>
      </c>
      <c r="J26" s="35">
        <f t="shared" si="5"/>
        <v>88.9</v>
      </c>
      <c r="K26" s="35">
        <f t="shared" si="6"/>
        <v>81.7</v>
      </c>
      <c r="L26" s="35">
        <f t="shared" si="7"/>
        <v>90.1</v>
      </c>
      <c r="M26" s="11">
        <f t="shared" si="8"/>
        <v>45</v>
      </c>
      <c r="N26" s="11" t="b">
        <f t="shared" si="9"/>
        <v>1</v>
      </c>
      <c r="O26" s="2">
        <f t="shared" si="10"/>
        <v>24.31</v>
      </c>
      <c r="P26" s="11">
        <f t="shared" si="11"/>
        <v>6</v>
      </c>
      <c r="Q26" s="11">
        <f t="shared" si="12"/>
        <v>12.96</v>
      </c>
      <c r="R26" s="11">
        <f t="shared" si="13"/>
        <v>20</v>
      </c>
      <c r="S26" s="11">
        <f t="shared" si="14"/>
        <v>26.87</v>
      </c>
      <c r="T26" s="11">
        <f t="shared" si="15"/>
        <v>70</v>
      </c>
      <c r="U26" s="2">
        <f t="shared" si="16"/>
        <v>38.549999999999997</v>
      </c>
      <c r="V26" s="11">
        <f t="shared" si="17"/>
        <v>2.4</v>
      </c>
      <c r="W26" s="11">
        <f t="shared" si="18"/>
        <v>18.75</v>
      </c>
      <c r="X26" s="11">
        <f t="shared" si="19"/>
        <v>6</v>
      </c>
      <c r="Y26" s="11">
        <f t="shared" si="20"/>
        <v>26.09</v>
      </c>
      <c r="Z26" s="11">
        <v>112</v>
      </c>
      <c r="AA26" s="2">
        <f t="shared" si="22"/>
        <v>100</v>
      </c>
      <c r="AB26" s="11">
        <v>0</v>
      </c>
      <c r="AC26" s="11">
        <f t="shared" si="24"/>
        <v>0</v>
      </c>
      <c r="AD26" s="11">
        <v>0</v>
      </c>
      <c r="AE26" s="11">
        <f t="shared" si="26"/>
        <v>0</v>
      </c>
      <c r="AF26" s="11">
        <v>111</v>
      </c>
      <c r="AG26" s="2">
        <f t="shared" si="28"/>
        <v>100</v>
      </c>
      <c r="AH26" s="11">
        <v>0</v>
      </c>
      <c r="AI26" s="11">
        <f t="shared" si="30"/>
        <v>0</v>
      </c>
      <c r="AJ26" s="11">
        <v>0</v>
      </c>
      <c r="AK26" s="11">
        <f t="shared" si="32"/>
        <v>0</v>
      </c>
      <c r="AL26" s="2">
        <f t="shared" si="33"/>
        <v>49.87</v>
      </c>
      <c r="AM26" s="2">
        <f t="shared" si="34"/>
        <v>50.51</v>
      </c>
      <c r="AN26" s="2">
        <f t="shared" si="35"/>
        <v>21.16</v>
      </c>
    </row>
    <row r="27" spans="1:45" x14ac:dyDescent="0.25">
      <c r="A27" s="13">
        <v>25</v>
      </c>
      <c r="B27" s="2" t="s">
        <v>47</v>
      </c>
      <c r="C27" s="2">
        <f t="shared" si="0"/>
        <v>26</v>
      </c>
      <c r="D27" s="2">
        <v>12</v>
      </c>
      <c r="E27" s="2">
        <f t="shared" si="1"/>
        <v>1.42</v>
      </c>
      <c r="F27" s="2">
        <v>16</v>
      </c>
      <c r="G27" s="2">
        <f t="shared" si="2"/>
        <v>3.54</v>
      </c>
      <c r="H27" s="2" t="b">
        <f t="shared" si="3"/>
        <v>1</v>
      </c>
      <c r="I27" s="35">
        <f t="shared" si="4"/>
        <v>73.400000000000006</v>
      </c>
      <c r="J27" s="35">
        <f t="shared" si="5"/>
        <v>85.1</v>
      </c>
      <c r="K27" s="35">
        <f t="shared" si="6"/>
        <v>89.8</v>
      </c>
      <c r="L27" s="35">
        <f t="shared" si="7"/>
        <v>91.6</v>
      </c>
      <c r="M27" s="11">
        <f t="shared" si="8"/>
        <v>19</v>
      </c>
      <c r="N27" s="11" t="b">
        <f t="shared" si="9"/>
        <v>1</v>
      </c>
      <c r="O27" s="2">
        <f t="shared" si="10"/>
        <v>9.94</v>
      </c>
      <c r="P27" s="11">
        <f t="shared" si="11"/>
        <v>10.8</v>
      </c>
      <c r="Q27" s="11">
        <f t="shared" si="12"/>
        <v>23.33</v>
      </c>
      <c r="R27" s="11">
        <f t="shared" si="13"/>
        <v>29</v>
      </c>
      <c r="S27" s="11">
        <f t="shared" si="14"/>
        <v>40.299999999999997</v>
      </c>
      <c r="T27" s="11">
        <f t="shared" si="15"/>
        <v>126</v>
      </c>
      <c r="U27" s="2">
        <f t="shared" si="16"/>
        <v>69.83</v>
      </c>
      <c r="V27" s="11">
        <f t="shared" si="17"/>
        <v>1.4</v>
      </c>
      <c r="W27" s="11">
        <f t="shared" si="18"/>
        <v>10.94</v>
      </c>
      <c r="X27" s="11">
        <f t="shared" si="19"/>
        <v>4</v>
      </c>
      <c r="Y27" s="11">
        <f t="shared" si="20"/>
        <v>17.39</v>
      </c>
      <c r="Z27" s="11">
        <v>112</v>
      </c>
      <c r="AA27" s="2">
        <f t="shared" si="22"/>
        <v>100</v>
      </c>
      <c r="AB27" s="11">
        <v>0</v>
      </c>
      <c r="AC27" s="11">
        <f t="shared" si="24"/>
        <v>0</v>
      </c>
      <c r="AD27" s="11">
        <v>0</v>
      </c>
      <c r="AE27" s="11">
        <f t="shared" si="26"/>
        <v>0</v>
      </c>
      <c r="AF27" s="11">
        <v>111</v>
      </c>
      <c r="AG27" s="2">
        <f t="shared" si="28"/>
        <v>100</v>
      </c>
      <c r="AH27" s="11">
        <v>0</v>
      </c>
      <c r="AI27" s="11">
        <f t="shared" si="30"/>
        <v>0</v>
      </c>
      <c r="AJ27" s="11">
        <v>0</v>
      </c>
      <c r="AK27" s="11">
        <f t="shared" si="32"/>
        <v>0</v>
      </c>
      <c r="AL27" s="2">
        <f t="shared" si="33"/>
        <v>48.94</v>
      </c>
      <c r="AM27" s="2">
        <f t="shared" si="34"/>
        <v>56.05</v>
      </c>
      <c r="AN27" s="2">
        <f t="shared" si="35"/>
        <v>21.28</v>
      </c>
    </row>
    <row r="28" spans="1:45" x14ac:dyDescent="0.25">
      <c r="A28" s="13">
        <v>26</v>
      </c>
      <c r="B28" s="2" t="s">
        <v>50</v>
      </c>
      <c r="C28" s="2">
        <f t="shared" si="0"/>
        <v>27</v>
      </c>
      <c r="D28" s="2">
        <v>22</v>
      </c>
      <c r="E28" s="2">
        <f t="shared" si="1"/>
        <v>2.71</v>
      </c>
      <c r="F28" s="2">
        <v>18</v>
      </c>
      <c r="G28" s="2">
        <f t="shared" si="2"/>
        <v>4.01</v>
      </c>
      <c r="H28" s="2" t="b">
        <f t="shared" si="3"/>
        <v>0</v>
      </c>
      <c r="I28" s="35">
        <f t="shared" si="4"/>
        <v>79.099999999999994</v>
      </c>
      <c r="J28" s="35">
        <f t="shared" si="5"/>
        <v>78.400000000000006</v>
      </c>
      <c r="K28" s="35">
        <f t="shared" si="6"/>
        <v>85.6</v>
      </c>
      <c r="L28" s="35">
        <f t="shared" si="7"/>
        <v>90.6</v>
      </c>
      <c r="M28" s="11">
        <f t="shared" si="8"/>
        <v>59</v>
      </c>
      <c r="N28" s="11" t="b">
        <f t="shared" si="9"/>
        <v>1</v>
      </c>
      <c r="O28" s="2">
        <f t="shared" si="10"/>
        <v>32.04</v>
      </c>
      <c r="P28" s="11">
        <f t="shared" si="11"/>
        <v>5.3</v>
      </c>
      <c r="Q28" s="11">
        <f t="shared" si="12"/>
        <v>11.45</v>
      </c>
      <c r="R28" s="11">
        <f t="shared" si="13"/>
        <v>15</v>
      </c>
      <c r="S28" s="11">
        <f t="shared" si="14"/>
        <v>19.399999999999999</v>
      </c>
      <c r="T28" s="11">
        <f t="shared" si="15"/>
        <v>23</v>
      </c>
      <c r="U28" s="2">
        <f t="shared" si="16"/>
        <v>12.29</v>
      </c>
      <c r="V28" s="11">
        <f t="shared" si="17"/>
        <v>5.0999999999999996</v>
      </c>
      <c r="W28" s="11">
        <f t="shared" si="18"/>
        <v>39.840000000000003</v>
      </c>
      <c r="X28" s="11">
        <f t="shared" si="19"/>
        <v>9</v>
      </c>
      <c r="Y28" s="11">
        <f t="shared" si="20"/>
        <v>39.130000000000003</v>
      </c>
      <c r="Z28" s="11">
        <v>112</v>
      </c>
      <c r="AA28" s="2">
        <f t="shared" si="22"/>
        <v>100</v>
      </c>
      <c r="AB28" s="11">
        <v>0</v>
      </c>
      <c r="AC28" s="11">
        <f t="shared" si="24"/>
        <v>0</v>
      </c>
      <c r="AD28" s="11">
        <v>0</v>
      </c>
      <c r="AE28" s="11">
        <f t="shared" si="26"/>
        <v>0</v>
      </c>
      <c r="AF28" s="11">
        <v>111</v>
      </c>
      <c r="AG28" s="2">
        <f t="shared" si="28"/>
        <v>100</v>
      </c>
      <c r="AH28" s="11">
        <v>0</v>
      </c>
      <c r="AI28" s="11">
        <f t="shared" si="30"/>
        <v>0</v>
      </c>
      <c r="AJ28" s="11">
        <v>0</v>
      </c>
      <c r="AK28" s="11">
        <f t="shared" si="32"/>
        <v>0</v>
      </c>
      <c r="AL28" s="2">
        <f t="shared" si="33"/>
        <v>48.48</v>
      </c>
      <c r="AM28" s="2">
        <f t="shared" si="34"/>
        <v>49.78</v>
      </c>
      <c r="AN28" s="2">
        <f t="shared" si="35"/>
        <v>21.54</v>
      </c>
    </row>
    <row r="29" spans="1:45" x14ac:dyDescent="0.25">
      <c r="A29" s="13">
        <v>28</v>
      </c>
      <c r="B29" s="2" t="s">
        <v>126</v>
      </c>
      <c r="C29" s="2">
        <f t="shared" si="0"/>
        <v>28</v>
      </c>
      <c r="D29" s="2">
        <v>21</v>
      </c>
      <c r="E29" s="2">
        <f t="shared" si="1"/>
        <v>2.58</v>
      </c>
      <c r="F29" s="2">
        <v>75</v>
      </c>
      <c r="G29" s="2">
        <f t="shared" si="2"/>
        <v>17.45</v>
      </c>
      <c r="H29" s="2" t="b">
        <f t="shared" si="3"/>
        <v>1</v>
      </c>
      <c r="I29" s="35">
        <f t="shared" si="4"/>
        <v>65.3</v>
      </c>
      <c r="J29" s="35">
        <f t="shared" si="5"/>
        <v>69.5</v>
      </c>
      <c r="K29" s="35">
        <f t="shared" si="6"/>
        <v>73.400000000000006</v>
      </c>
      <c r="L29" s="35">
        <f t="shared" si="7"/>
        <v>87.9</v>
      </c>
      <c r="M29" s="11">
        <f t="shared" si="8"/>
        <v>71</v>
      </c>
      <c r="N29" s="11" t="b">
        <f t="shared" si="9"/>
        <v>1</v>
      </c>
      <c r="O29" s="2">
        <f t="shared" si="10"/>
        <v>38.67</v>
      </c>
      <c r="P29" s="11">
        <f t="shared" si="11"/>
        <v>4.7</v>
      </c>
      <c r="Q29" s="11">
        <f t="shared" si="12"/>
        <v>10.15</v>
      </c>
      <c r="R29" s="11">
        <f t="shared" si="13"/>
        <v>10</v>
      </c>
      <c r="S29" s="11">
        <f t="shared" si="14"/>
        <v>11.94</v>
      </c>
      <c r="T29" s="11">
        <f t="shared" si="15"/>
        <v>25</v>
      </c>
      <c r="U29" s="2">
        <f t="shared" si="16"/>
        <v>13.41</v>
      </c>
      <c r="V29" s="11">
        <f t="shared" si="17"/>
        <v>4.5999999999999996</v>
      </c>
      <c r="W29" s="11">
        <f t="shared" si="18"/>
        <v>35.94</v>
      </c>
      <c r="X29" s="11">
        <f t="shared" si="19"/>
        <v>6</v>
      </c>
      <c r="Y29" s="11">
        <f t="shared" si="20"/>
        <v>26.09</v>
      </c>
      <c r="Z29" s="11">
        <f>VLOOKUP(B29,Systems_Rank,2,FALSE)</f>
        <v>64</v>
      </c>
      <c r="AA29" s="2">
        <f t="shared" si="22"/>
        <v>56.76</v>
      </c>
      <c r="AB29" s="11">
        <f>VLOOKUP(B29,Systems_Rank,3,FALSE)</f>
        <v>1.3</v>
      </c>
      <c r="AC29" s="11">
        <f t="shared" si="24"/>
        <v>18.309999999999999</v>
      </c>
      <c r="AD29" s="11">
        <f>VLOOKUP(B29,Systems_Rank,4,FALSE)</f>
        <v>8</v>
      </c>
      <c r="AE29" s="11">
        <f t="shared" si="26"/>
        <v>12.9</v>
      </c>
      <c r="AF29" s="11">
        <f>VLOOKUP(B29,InterD_Rank,2,FALSE)</f>
        <v>42</v>
      </c>
      <c r="AG29" s="2">
        <f t="shared" si="28"/>
        <v>37.270000000000003</v>
      </c>
      <c r="AH29" s="11">
        <f>VLOOKUP(B29,InterD_Rank,3,FALSE)</f>
        <v>2.4</v>
      </c>
      <c r="AI29" s="11">
        <f t="shared" si="30"/>
        <v>13.71</v>
      </c>
      <c r="AJ29" s="11">
        <f>VLOOKUP(B29,InterD_Rank,4,FALSE)</f>
        <v>4</v>
      </c>
      <c r="AK29" s="11">
        <f t="shared" si="32"/>
        <v>6.67</v>
      </c>
      <c r="AL29" s="2">
        <f t="shared" si="33"/>
        <v>36.119999999999997</v>
      </c>
      <c r="AM29" s="2">
        <f t="shared" si="34"/>
        <v>44.84</v>
      </c>
      <c r="AN29" s="2">
        <f t="shared" si="35"/>
        <v>21.94</v>
      </c>
    </row>
    <row r="30" spans="1:45" x14ac:dyDescent="0.25">
      <c r="A30" s="13">
        <v>30</v>
      </c>
      <c r="B30" s="2" t="s">
        <v>121</v>
      </c>
      <c r="C30" s="2">
        <f t="shared" si="0"/>
        <v>29</v>
      </c>
      <c r="D30" s="2">
        <v>15</v>
      </c>
      <c r="E30" s="2">
        <f t="shared" si="1"/>
        <v>1.81</v>
      </c>
      <c r="F30" s="2">
        <v>39</v>
      </c>
      <c r="G30" s="2">
        <f t="shared" si="2"/>
        <v>8.9600000000000009</v>
      </c>
      <c r="H30" s="2" t="b">
        <f t="shared" si="3"/>
        <v>1</v>
      </c>
      <c r="I30" s="35">
        <f t="shared" si="4"/>
        <v>72.3</v>
      </c>
      <c r="J30" s="35">
        <f t="shared" si="5"/>
        <v>86.8</v>
      </c>
      <c r="K30" s="35">
        <f t="shared" si="6"/>
        <v>69.400000000000006</v>
      </c>
      <c r="L30" s="35">
        <f t="shared" si="7"/>
        <v>87.1</v>
      </c>
      <c r="M30" s="11">
        <f t="shared" si="8"/>
        <v>105</v>
      </c>
      <c r="N30" s="11" t="b">
        <f t="shared" si="9"/>
        <v>0</v>
      </c>
      <c r="O30" s="2">
        <f t="shared" si="10"/>
        <v>57.46</v>
      </c>
      <c r="P30" s="11">
        <f t="shared" si="11"/>
        <v>3.2</v>
      </c>
      <c r="Q30" s="11">
        <f t="shared" si="12"/>
        <v>6.91</v>
      </c>
      <c r="R30" s="11">
        <f t="shared" si="13"/>
        <v>8</v>
      </c>
      <c r="S30" s="11">
        <f t="shared" si="14"/>
        <v>8.9600000000000009</v>
      </c>
      <c r="T30" s="11">
        <f t="shared" si="15"/>
        <v>51</v>
      </c>
      <c r="U30" s="2">
        <f t="shared" si="16"/>
        <v>27.93</v>
      </c>
      <c r="V30" s="11">
        <f t="shared" si="17"/>
        <v>2.9</v>
      </c>
      <c r="W30" s="11">
        <f t="shared" si="18"/>
        <v>22.66</v>
      </c>
      <c r="X30" s="11">
        <f t="shared" si="19"/>
        <v>5</v>
      </c>
      <c r="Y30" s="11">
        <f t="shared" si="20"/>
        <v>21.74</v>
      </c>
      <c r="Z30" s="11">
        <f>VLOOKUP(B30,Systems_Rank,2,FALSE)</f>
        <v>51</v>
      </c>
      <c r="AA30" s="2">
        <f t="shared" si="22"/>
        <v>45.05</v>
      </c>
      <c r="AB30" s="11">
        <f>VLOOKUP(B30,Systems_Rank,3,FALSE)</f>
        <v>1.6</v>
      </c>
      <c r="AC30" s="11">
        <f t="shared" si="24"/>
        <v>22.54</v>
      </c>
      <c r="AD30" s="11">
        <f>VLOOKUP(B30,Systems_Rank,4,FALSE)</f>
        <v>14</v>
      </c>
      <c r="AE30" s="11">
        <f t="shared" si="26"/>
        <v>22.58</v>
      </c>
      <c r="AF30" s="11">
        <f>VLOOKUP(B30,InterD_Rank,2,FALSE)</f>
        <v>52</v>
      </c>
      <c r="AG30" s="2">
        <f t="shared" si="28"/>
        <v>46.36</v>
      </c>
      <c r="AH30" s="11">
        <f>VLOOKUP(B30,InterD_Rank,3,FALSE)</f>
        <v>2</v>
      </c>
      <c r="AI30" s="11">
        <f t="shared" si="30"/>
        <v>11.43</v>
      </c>
      <c r="AJ30" s="11">
        <f>VLOOKUP(B30,InterD_Rank,4,FALSE)</f>
        <v>6</v>
      </c>
      <c r="AK30" s="11">
        <f t="shared" si="32"/>
        <v>10</v>
      </c>
      <c r="AL30" s="2">
        <f t="shared" si="33"/>
        <v>48.03</v>
      </c>
      <c r="AM30" s="2">
        <f t="shared" si="34"/>
        <v>44.71</v>
      </c>
      <c r="AN30" s="2">
        <f t="shared" si="35"/>
        <v>23.16</v>
      </c>
    </row>
    <row r="31" spans="1:45" x14ac:dyDescent="0.25">
      <c r="A31" s="13">
        <v>27</v>
      </c>
      <c r="B31" s="2" t="s">
        <v>404</v>
      </c>
      <c r="C31" s="2">
        <f t="shared" si="0"/>
        <v>30</v>
      </c>
      <c r="D31" s="2">
        <v>23</v>
      </c>
      <c r="E31" s="2">
        <f t="shared" si="1"/>
        <v>2.84</v>
      </c>
      <c r="F31" s="2">
        <v>22</v>
      </c>
      <c r="G31" s="2">
        <f t="shared" si="2"/>
        <v>4.95</v>
      </c>
      <c r="H31" s="2" t="b">
        <f t="shared" si="3"/>
        <v>0</v>
      </c>
      <c r="I31" s="35">
        <f t="shared" si="4"/>
        <v>77.8</v>
      </c>
      <c r="J31" s="35">
        <f t="shared" si="5"/>
        <v>89.2</v>
      </c>
      <c r="K31" s="35">
        <f t="shared" si="6"/>
        <v>77.900000000000006</v>
      </c>
      <c r="L31" s="35">
        <f t="shared" si="7"/>
        <v>78.2</v>
      </c>
      <c r="M31" s="11">
        <f t="shared" si="8"/>
        <v>32</v>
      </c>
      <c r="N31" s="11" t="b">
        <f t="shared" si="9"/>
        <v>1</v>
      </c>
      <c r="O31" s="2">
        <f t="shared" si="10"/>
        <v>17.13</v>
      </c>
      <c r="P31" s="11">
        <f t="shared" si="11"/>
        <v>8.1</v>
      </c>
      <c r="Q31" s="11">
        <f t="shared" si="12"/>
        <v>17.489999999999998</v>
      </c>
      <c r="R31" s="11">
        <f t="shared" si="13"/>
        <v>23</v>
      </c>
      <c r="S31" s="11">
        <f t="shared" si="14"/>
        <v>31.34</v>
      </c>
      <c r="T31" s="11">
        <f t="shared" si="15"/>
        <v>119</v>
      </c>
      <c r="U31" s="2">
        <f t="shared" si="16"/>
        <v>65.92</v>
      </c>
      <c r="V31" s="11">
        <f t="shared" si="17"/>
        <v>1.5</v>
      </c>
      <c r="W31" s="11">
        <f t="shared" si="18"/>
        <v>11.72</v>
      </c>
      <c r="X31" s="11">
        <f t="shared" si="19"/>
        <v>2</v>
      </c>
      <c r="Y31" s="11">
        <f t="shared" si="20"/>
        <v>8.6999999999999993</v>
      </c>
      <c r="Z31" s="11">
        <v>112</v>
      </c>
      <c r="AA31" s="2">
        <f t="shared" si="22"/>
        <v>100</v>
      </c>
      <c r="AB31" s="11">
        <v>0</v>
      </c>
      <c r="AC31" s="11">
        <f t="shared" si="24"/>
        <v>0</v>
      </c>
      <c r="AD31" s="11">
        <v>0</v>
      </c>
      <c r="AE31" s="11">
        <f t="shared" si="26"/>
        <v>0</v>
      </c>
      <c r="AF31" s="11">
        <v>111</v>
      </c>
      <c r="AG31" s="2">
        <f t="shared" si="28"/>
        <v>100</v>
      </c>
      <c r="AH31" s="11">
        <v>0</v>
      </c>
      <c r="AI31" s="11">
        <f t="shared" si="30"/>
        <v>0</v>
      </c>
      <c r="AJ31" s="11">
        <v>0</v>
      </c>
      <c r="AK31" s="11">
        <f t="shared" si="32"/>
        <v>0</v>
      </c>
      <c r="AL31" s="2">
        <f t="shared" si="33"/>
        <v>51.75</v>
      </c>
      <c r="AM31" s="2">
        <f t="shared" si="34"/>
        <v>50.19</v>
      </c>
      <c r="AN31" s="2">
        <f t="shared" si="35"/>
        <v>23.25</v>
      </c>
    </row>
    <row r="32" spans="1:45" x14ac:dyDescent="0.25">
      <c r="A32" s="13">
        <v>34</v>
      </c>
      <c r="B32" s="38" t="s">
        <v>402</v>
      </c>
      <c r="C32" s="2">
        <f t="shared" si="0"/>
        <v>31</v>
      </c>
      <c r="D32" s="2">
        <v>169</v>
      </c>
      <c r="E32" s="2">
        <f t="shared" si="1"/>
        <v>21.71</v>
      </c>
      <c r="F32" s="2">
        <v>75</v>
      </c>
      <c r="G32" s="2">
        <f t="shared" si="2"/>
        <v>17.45</v>
      </c>
      <c r="H32" s="2" t="b">
        <f t="shared" si="3"/>
        <v>0</v>
      </c>
      <c r="I32" s="35">
        <f t="shared" si="4"/>
        <v>65.400000000000006</v>
      </c>
      <c r="J32" s="35">
        <f t="shared" si="5"/>
        <v>61.1</v>
      </c>
      <c r="K32" s="35">
        <f t="shared" si="6"/>
        <v>78.5</v>
      </c>
      <c r="L32" s="35">
        <f t="shared" si="7"/>
        <v>93.4</v>
      </c>
      <c r="M32" s="11">
        <f t="shared" si="8"/>
        <v>53</v>
      </c>
      <c r="N32" s="11" t="b">
        <f t="shared" si="9"/>
        <v>1</v>
      </c>
      <c r="O32" s="2">
        <f t="shared" si="10"/>
        <v>28.73</v>
      </c>
      <c r="P32" s="11">
        <f t="shared" si="11"/>
        <v>5.7</v>
      </c>
      <c r="Q32" s="11">
        <f t="shared" si="12"/>
        <v>12.31</v>
      </c>
      <c r="R32" s="11">
        <f t="shared" si="13"/>
        <v>13</v>
      </c>
      <c r="S32" s="11">
        <f t="shared" si="14"/>
        <v>16.420000000000002</v>
      </c>
      <c r="T32" s="11">
        <f t="shared" si="15"/>
        <v>81</v>
      </c>
      <c r="U32" s="2">
        <f t="shared" si="16"/>
        <v>44.69</v>
      </c>
      <c r="V32" s="11">
        <f t="shared" si="17"/>
        <v>2.2000000000000002</v>
      </c>
      <c r="W32" s="11">
        <f t="shared" si="18"/>
        <v>17.190000000000001</v>
      </c>
      <c r="X32" s="11">
        <f t="shared" si="19"/>
        <v>5</v>
      </c>
      <c r="Y32" s="11">
        <f t="shared" si="20"/>
        <v>21.74</v>
      </c>
      <c r="Z32" s="11">
        <f>VLOOKUP(B32,Systems_Rank,2,FALSE)</f>
        <v>27</v>
      </c>
      <c r="AA32" s="2">
        <f t="shared" si="22"/>
        <v>23.42</v>
      </c>
      <c r="AB32" s="11">
        <f>VLOOKUP(B32,Systems_Rank,3,FALSE)</f>
        <v>2.4</v>
      </c>
      <c r="AC32" s="11">
        <f t="shared" si="24"/>
        <v>33.799999999999997</v>
      </c>
      <c r="AD32" s="11">
        <f>VLOOKUP(B32,Systems_Rank,4,FALSE)</f>
        <v>24</v>
      </c>
      <c r="AE32" s="11">
        <f t="shared" si="26"/>
        <v>38.71</v>
      </c>
      <c r="AF32" s="11">
        <f>VLOOKUP(B32,InterD_Rank,2,FALSE)</f>
        <v>34</v>
      </c>
      <c r="AG32" s="2">
        <f t="shared" si="28"/>
        <v>30</v>
      </c>
      <c r="AH32" s="11">
        <f>VLOOKUP(B32,InterD_Rank,3,FALSE)</f>
        <v>2.9</v>
      </c>
      <c r="AI32" s="11">
        <f t="shared" si="30"/>
        <v>16.57</v>
      </c>
      <c r="AJ32" s="11">
        <f>VLOOKUP(B32,InterD_Rank,4,FALSE)</f>
        <v>13</v>
      </c>
      <c r="AK32" s="11">
        <f t="shared" si="32"/>
        <v>21.67</v>
      </c>
      <c r="AL32" s="2">
        <f t="shared" si="33"/>
        <v>31.32</v>
      </c>
      <c r="AM32" s="2">
        <f t="shared" si="34"/>
        <v>49.72</v>
      </c>
      <c r="AN32" s="2">
        <f t="shared" si="35"/>
        <v>23.85</v>
      </c>
    </row>
    <row r="33" spans="1:40" x14ac:dyDescent="0.25">
      <c r="A33" s="13">
        <v>33</v>
      </c>
      <c r="B33" s="2" t="s">
        <v>124</v>
      </c>
      <c r="C33" s="2">
        <f t="shared" si="0"/>
        <v>32</v>
      </c>
      <c r="D33" s="2">
        <v>93</v>
      </c>
      <c r="E33" s="2">
        <f t="shared" si="1"/>
        <v>11.89</v>
      </c>
      <c r="F33" s="2">
        <v>75</v>
      </c>
      <c r="G33" s="2">
        <f t="shared" si="2"/>
        <v>17.45</v>
      </c>
      <c r="H33" s="2" t="b">
        <f t="shared" si="3"/>
        <v>0</v>
      </c>
      <c r="I33" s="35">
        <f t="shared" si="4"/>
        <v>60.5</v>
      </c>
      <c r="J33" s="35">
        <f t="shared" si="5"/>
        <v>75.400000000000006</v>
      </c>
      <c r="K33" s="35">
        <f t="shared" si="6"/>
        <v>69.8</v>
      </c>
      <c r="L33" s="35">
        <f t="shared" si="7"/>
        <v>89.1</v>
      </c>
      <c r="M33" s="11">
        <f t="shared" si="8"/>
        <v>62</v>
      </c>
      <c r="N33" s="11" t="b">
        <f t="shared" si="9"/>
        <v>1</v>
      </c>
      <c r="O33" s="2">
        <f t="shared" si="10"/>
        <v>33.700000000000003</v>
      </c>
      <c r="P33" s="11">
        <f t="shared" si="11"/>
        <v>5.0999999999999996</v>
      </c>
      <c r="Q33" s="11">
        <f t="shared" si="12"/>
        <v>11.02</v>
      </c>
      <c r="R33" s="11">
        <f t="shared" si="13"/>
        <v>14</v>
      </c>
      <c r="S33" s="11">
        <f t="shared" si="14"/>
        <v>17.91</v>
      </c>
      <c r="T33" s="11">
        <f t="shared" si="15"/>
        <v>31</v>
      </c>
      <c r="U33" s="2">
        <f t="shared" si="16"/>
        <v>16.760000000000002</v>
      </c>
      <c r="V33" s="11">
        <f t="shared" si="17"/>
        <v>4.0999999999999996</v>
      </c>
      <c r="W33" s="11">
        <f t="shared" si="18"/>
        <v>32.03</v>
      </c>
      <c r="X33" s="11">
        <f t="shared" si="19"/>
        <v>8</v>
      </c>
      <c r="Y33" s="11">
        <f t="shared" si="20"/>
        <v>34.78</v>
      </c>
      <c r="Z33" s="11">
        <f>VLOOKUP(B33,Systems_Rank,2,FALSE)</f>
        <v>45</v>
      </c>
      <c r="AA33" s="2">
        <f t="shared" si="22"/>
        <v>39.64</v>
      </c>
      <c r="AB33" s="11">
        <f>VLOOKUP(B33,Systems_Rank,3,FALSE)</f>
        <v>1.7</v>
      </c>
      <c r="AC33" s="11">
        <f t="shared" si="24"/>
        <v>23.94</v>
      </c>
      <c r="AD33" s="11">
        <f>VLOOKUP(B33,Systems_Rank,4,FALSE)</f>
        <v>13</v>
      </c>
      <c r="AE33" s="11">
        <f t="shared" si="26"/>
        <v>20.97</v>
      </c>
      <c r="AF33" s="11">
        <f>VLOOKUP(B33,InterD_Rank,2,FALSE)</f>
        <v>83</v>
      </c>
      <c r="AG33" s="2">
        <f t="shared" si="28"/>
        <v>74.55</v>
      </c>
      <c r="AH33" s="11">
        <f>VLOOKUP(B33,InterD_Rank,3,FALSE)</f>
        <v>1.3</v>
      </c>
      <c r="AI33" s="11">
        <f t="shared" si="30"/>
        <v>7.43</v>
      </c>
      <c r="AJ33" s="11">
        <f>VLOOKUP(B33,InterD_Rank,4,FALSE)</f>
        <v>2</v>
      </c>
      <c r="AK33" s="11">
        <f t="shared" si="32"/>
        <v>3.33</v>
      </c>
      <c r="AL33" s="2">
        <f t="shared" si="33"/>
        <v>37.33</v>
      </c>
      <c r="AM33" s="2">
        <f t="shared" si="34"/>
        <v>44.74</v>
      </c>
      <c r="AN33" s="2">
        <f t="shared" si="35"/>
        <v>24.29</v>
      </c>
    </row>
    <row r="34" spans="1:40" x14ac:dyDescent="0.25">
      <c r="A34" s="13">
        <v>31</v>
      </c>
      <c r="B34" s="2" t="s">
        <v>417</v>
      </c>
      <c r="C34" s="2">
        <f t="shared" ref="C34:C68" si="36">RANK(AN34,$AN$2:$AN$68,1)</f>
        <v>33</v>
      </c>
      <c r="D34" s="2">
        <v>47</v>
      </c>
      <c r="E34" s="2">
        <f t="shared" ref="E34:E65" si="37" xml:space="preserve"> ROUND((((D34 - $D$74)/($D$73 - $D$74))*100),2)</f>
        <v>5.94</v>
      </c>
      <c r="F34" s="2">
        <v>34</v>
      </c>
      <c r="G34" s="2">
        <f t="shared" ref="G34:G65" si="38" xml:space="preserve"> ROUND((((F34 - $F$74)/($F$73 - $F$74))*100),2)</f>
        <v>7.78</v>
      </c>
      <c r="H34" s="2" t="b">
        <f t="shared" ref="H34:H68" si="39">D34&lt;=F34</f>
        <v>0</v>
      </c>
      <c r="I34" s="35">
        <f t="shared" si="4"/>
        <v>71.2</v>
      </c>
      <c r="J34" s="35">
        <f t="shared" si="5"/>
        <v>79.3</v>
      </c>
      <c r="K34" s="35">
        <f t="shared" si="6"/>
        <v>85.8</v>
      </c>
      <c r="L34" s="35">
        <f t="shared" si="7"/>
        <v>93.2</v>
      </c>
      <c r="M34" s="11">
        <f t="shared" ref="M34:M57" si="40">VLOOKUP(B34,AI_Rank,2,FALSE)</f>
        <v>41</v>
      </c>
      <c r="N34" s="11" t="b">
        <f t="shared" ref="N34:N65" si="41">M34&lt;100</f>
        <v>1</v>
      </c>
      <c r="O34" s="2">
        <f t="shared" ref="O34:O68" si="42" xml:space="preserve"> ROUND((((M34 - $M$74)/($M$73 - $M$74))*100),2)</f>
        <v>22.1</v>
      </c>
      <c r="P34" s="11">
        <f t="shared" ref="P34:P57" si="43">VLOOKUP(B34,AI_Rank,3,FALSE)</f>
        <v>6.7</v>
      </c>
      <c r="Q34" s="11">
        <f t="shared" ref="Q34:Q65" si="44" xml:space="preserve"> ROUND((((P34 - $P$74)/($P$73 - $P$74)) * 100),2)</f>
        <v>14.47</v>
      </c>
      <c r="R34" s="11">
        <f t="shared" ref="R34:R57" si="45">VLOOKUP(B34,AI_Rank,4,FALSE)</f>
        <v>19</v>
      </c>
      <c r="S34" s="11">
        <f t="shared" ref="S34:S65" si="46" xml:space="preserve"> ROUND((((R34 - $R$74)/($R$73 - $R$74)) * 100),2)</f>
        <v>25.37</v>
      </c>
      <c r="T34" s="11">
        <f t="shared" si="15"/>
        <v>95</v>
      </c>
      <c r="U34" s="2">
        <f t="shared" ref="U34:U65" si="47" xml:space="preserve"> ROUND((((T34 - $T$74)/($T$73 - $T$74))*100),2)</f>
        <v>52.51</v>
      </c>
      <c r="V34" s="11">
        <f t="shared" si="17"/>
        <v>1.9</v>
      </c>
      <c r="W34" s="11">
        <f t="shared" ref="W34:W65" si="48" xml:space="preserve"> ROUND((((V34 - $V$74)/($V$73 - $V$74)) * 100),2)</f>
        <v>14.84</v>
      </c>
      <c r="X34" s="11">
        <f t="shared" si="19"/>
        <v>4</v>
      </c>
      <c r="Y34" s="11">
        <f t="shared" ref="Y34:Y65" si="49" xml:space="preserve"> ROUND((((X34 - $X$74)/($X$73 - $X$74)) * 100),2)</f>
        <v>17.39</v>
      </c>
      <c r="Z34" s="11">
        <v>112</v>
      </c>
      <c r="AA34" s="2">
        <f t="shared" ref="AA34:AA65" si="50" xml:space="preserve"> ROUND((((Z34 - $Z$74)/($Z$73 - $Z$74))*100),2)</f>
        <v>100</v>
      </c>
      <c r="AB34" s="11">
        <v>0</v>
      </c>
      <c r="AC34" s="11">
        <f t="shared" ref="AC34:AC65" si="51" xml:space="preserve"> ROUND((((AB34 - $AB$74)/($AB$73 - $AB$74)) * 100),2)</f>
        <v>0</v>
      </c>
      <c r="AD34" s="11">
        <v>0</v>
      </c>
      <c r="AE34" s="11">
        <f t="shared" ref="AE34:AE65" si="52" xml:space="preserve"> ROUND((((AD34 - $AD$74)/($AD$73 - $AD$74)) * 100),2)</f>
        <v>0</v>
      </c>
      <c r="AF34" s="11">
        <v>111</v>
      </c>
      <c r="AG34" s="2">
        <f t="shared" ref="AG34:AG65" si="53" xml:space="preserve"> ROUND((((AF34 - $AF$74)/($AF$73 - $AF$74))*100),2)</f>
        <v>100</v>
      </c>
      <c r="AH34" s="11">
        <v>0</v>
      </c>
      <c r="AI34" s="11">
        <f t="shared" ref="AI34:AI65" si="54" xml:space="preserve"> ROUND((((AH34 - $AH$74)/($AH$73 - $AH$74)) * 100),2)</f>
        <v>0</v>
      </c>
      <c r="AJ34" s="11">
        <v>0</v>
      </c>
      <c r="AK34" s="11">
        <f t="shared" ref="AK34:AK65" si="55" xml:space="preserve"> ROUND((((AJ34 - $AJ$74)/($AJ$73 - $AJ$74)) * 100),2)</f>
        <v>0</v>
      </c>
      <c r="AL34" s="2">
        <f t="shared" ref="AL34:AL68" si="56" xml:space="preserve"> ROUND((0.5 * O34 + 0.2 * U34 + 0.15 * AA34 + 0.15 * AG34),2)</f>
        <v>51.55</v>
      </c>
      <c r="AM34" s="2">
        <f t="shared" ref="AM34:AM68" si="57">ROUND((0.5*((I34+K34+L34)/3) + 0.5 * ((0.6 *((Q34 + S34)/2)) + (0.2 * ((U34 + W34)/2)) + (0.1 * ((AC34 + AE34)/2)) + (0.1 * ((AI34 + AK34)/2)))),2)</f>
        <v>51.04</v>
      </c>
      <c r="AN34" s="2">
        <f t="shared" ref="AN34:AN68" si="58" xml:space="preserve"> ROUND((0.2 * E34 + 0.4 * G34 + 0.4 * AL34),2)</f>
        <v>24.92</v>
      </c>
    </row>
    <row r="35" spans="1:40" x14ac:dyDescent="0.25">
      <c r="A35" s="13">
        <v>32</v>
      </c>
      <c r="B35" s="2" t="s">
        <v>125</v>
      </c>
      <c r="C35" s="2">
        <f t="shared" si="36"/>
        <v>34</v>
      </c>
      <c r="D35" s="2">
        <v>26</v>
      </c>
      <c r="E35" s="2">
        <f t="shared" si="37"/>
        <v>3.23</v>
      </c>
      <c r="F35" s="2">
        <v>75</v>
      </c>
      <c r="G35" s="2">
        <f t="shared" si="38"/>
        <v>17.45</v>
      </c>
      <c r="H35" s="2" t="b">
        <f t="shared" si="39"/>
        <v>1</v>
      </c>
      <c r="I35" s="35">
        <f t="shared" si="4"/>
        <v>63</v>
      </c>
      <c r="J35" s="35">
        <f t="shared" si="5"/>
        <v>70.5</v>
      </c>
      <c r="K35" s="35">
        <f t="shared" si="6"/>
        <v>76.900000000000006</v>
      </c>
      <c r="L35" s="35">
        <f t="shared" si="7"/>
        <v>91.8</v>
      </c>
      <c r="M35" s="11">
        <f t="shared" si="40"/>
        <v>86</v>
      </c>
      <c r="N35" s="11" t="b">
        <f t="shared" si="41"/>
        <v>1</v>
      </c>
      <c r="O35" s="2">
        <f t="shared" si="42"/>
        <v>46.96</v>
      </c>
      <c r="P35" s="11">
        <f t="shared" si="43"/>
        <v>4.0999999999999996</v>
      </c>
      <c r="Q35" s="11">
        <f t="shared" si="44"/>
        <v>8.86</v>
      </c>
      <c r="R35" s="11">
        <f t="shared" si="45"/>
        <v>13</v>
      </c>
      <c r="S35" s="11">
        <f t="shared" si="46"/>
        <v>16.420000000000002</v>
      </c>
      <c r="T35" s="11">
        <f t="shared" si="15"/>
        <v>84</v>
      </c>
      <c r="U35" s="2">
        <f t="shared" si="47"/>
        <v>46.37</v>
      </c>
      <c r="V35" s="11">
        <f t="shared" si="17"/>
        <v>2.1</v>
      </c>
      <c r="W35" s="11">
        <f t="shared" si="48"/>
        <v>16.41</v>
      </c>
      <c r="X35" s="11">
        <f t="shared" si="19"/>
        <v>4</v>
      </c>
      <c r="Y35" s="11">
        <f t="shared" si="49"/>
        <v>17.39</v>
      </c>
      <c r="Z35" s="11">
        <f t="shared" ref="Z35:Z43" si="59">VLOOKUP(B35,Systems_Rank,2,FALSE)</f>
        <v>51</v>
      </c>
      <c r="AA35" s="2">
        <f t="shared" si="50"/>
        <v>45.05</v>
      </c>
      <c r="AB35" s="11">
        <f t="shared" ref="AB35:AB43" si="60">VLOOKUP(B35,Systems_Rank,3,FALSE)</f>
        <v>1.6</v>
      </c>
      <c r="AC35" s="11">
        <f t="shared" si="51"/>
        <v>22.54</v>
      </c>
      <c r="AD35" s="11">
        <f t="shared" ref="AD35:AD43" si="61">VLOOKUP(B35,Systems_Rank,4,FALSE)</f>
        <v>12</v>
      </c>
      <c r="AE35" s="11">
        <f t="shared" si="52"/>
        <v>19.350000000000001</v>
      </c>
      <c r="AF35" s="11">
        <f t="shared" ref="AF35:AF40" si="62">VLOOKUP(B35,InterD_Rank,2,FALSE)</f>
        <v>42</v>
      </c>
      <c r="AG35" s="2">
        <f t="shared" si="53"/>
        <v>37.270000000000003</v>
      </c>
      <c r="AH35" s="11">
        <f t="shared" ref="AH35:AH40" si="63">VLOOKUP(B35,InterD_Rank,3,FALSE)</f>
        <v>2.4</v>
      </c>
      <c r="AI35" s="11">
        <f t="shared" si="54"/>
        <v>13.71</v>
      </c>
      <c r="AJ35" s="11">
        <f t="shared" ref="AJ35:AJ40" si="64">VLOOKUP(B35,InterD_Rank,4,FALSE)</f>
        <v>4</v>
      </c>
      <c r="AK35" s="11">
        <f t="shared" si="55"/>
        <v>6.67</v>
      </c>
      <c r="AL35" s="2">
        <f t="shared" si="56"/>
        <v>45.1</v>
      </c>
      <c r="AM35" s="2">
        <f t="shared" si="57"/>
        <v>47.1</v>
      </c>
      <c r="AN35" s="2">
        <f t="shared" si="58"/>
        <v>25.67</v>
      </c>
    </row>
    <row r="36" spans="1:40" x14ac:dyDescent="0.25">
      <c r="A36" s="13">
        <v>41</v>
      </c>
      <c r="B36" s="38" t="s">
        <v>110</v>
      </c>
      <c r="C36" s="2">
        <f t="shared" si="36"/>
        <v>35</v>
      </c>
      <c r="D36" s="2">
        <v>259</v>
      </c>
      <c r="E36" s="2">
        <f t="shared" si="37"/>
        <v>33.33</v>
      </c>
      <c r="F36" s="2">
        <v>125</v>
      </c>
      <c r="G36" s="2">
        <f t="shared" si="38"/>
        <v>29.25</v>
      </c>
      <c r="H36" s="2" t="b">
        <f t="shared" si="39"/>
        <v>0</v>
      </c>
      <c r="I36" s="35">
        <f t="shared" si="4"/>
        <v>63.5</v>
      </c>
      <c r="J36" s="35">
        <f t="shared" si="5"/>
        <v>58</v>
      </c>
      <c r="K36" s="35">
        <f t="shared" si="6"/>
        <v>77.900000000000006</v>
      </c>
      <c r="L36" s="35">
        <f t="shared" si="7"/>
        <v>95</v>
      </c>
      <c r="M36" s="11">
        <f t="shared" si="40"/>
        <v>17</v>
      </c>
      <c r="N36" s="11" t="b">
        <f t="shared" si="41"/>
        <v>1</v>
      </c>
      <c r="O36" s="2">
        <f t="shared" si="42"/>
        <v>8.84</v>
      </c>
      <c r="P36" s="11">
        <f t="shared" si="43"/>
        <v>11</v>
      </c>
      <c r="Q36" s="11">
        <f t="shared" si="44"/>
        <v>23.76</v>
      </c>
      <c r="R36" s="11">
        <f t="shared" si="45"/>
        <v>26</v>
      </c>
      <c r="S36" s="11">
        <f t="shared" si="46"/>
        <v>35.82</v>
      </c>
      <c r="T36" s="11">
        <f t="shared" si="15"/>
        <v>95</v>
      </c>
      <c r="U36" s="2">
        <f t="shared" si="47"/>
        <v>52.51</v>
      </c>
      <c r="V36" s="11">
        <f t="shared" si="17"/>
        <v>1.9</v>
      </c>
      <c r="W36" s="11">
        <f t="shared" si="48"/>
        <v>14.84</v>
      </c>
      <c r="X36" s="11">
        <f t="shared" si="19"/>
        <v>3</v>
      </c>
      <c r="Y36" s="11">
        <f t="shared" si="49"/>
        <v>13.04</v>
      </c>
      <c r="Z36" s="11">
        <f t="shared" si="59"/>
        <v>15</v>
      </c>
      <c r="AA36" s="2">
        <f t="shared" si="50"/>
        <v>12.61</v>
      </c>
      <c r="AB36" s="11">
        <f t="shared" si="60"/>
        <v>3.2</v>
      </c>
      <c r="AC36" s="11">
        <f t="shared" si="51"/>
        <v>45.07</v>
      </c>
      <c r="AD36" s="11">
        <f t="shared" si="61"/>
        <v>28</v>
      </c>
      <c r="AE36" s="11">
        <f t="shared" si="52"/>
        <v>45.16</v>
      </c>
      <c r="AF36" s="11">
        <f t="shared" si="62"/>
        <v>20</v>
      </c>
      <c r="AG36" s="2">
        <f t="shared" si="53"/>
        <v>17.27</v>
      </c>
      <c r="AH36" s="11">
        <f t="shared" si="63"/>
        <v>4</v>
      </c>
      <c r="AI36" s="11">
        <f t="shared" si="54"/>
        <v>22.86</v>
      </c>
      <c r="AJ36" s="11">
        <f t="shared" si="64"/>
        <v>11</v>
      </c>
      <c r="AK36" s="11">
        <f t="shared" si="55"/>
        <v>18.329999999999998</v>
      </c>
      <c r="AL36" s="2">
        <f t="shared" si="56"/>
        <v>19.399999999999999</v>
      </c>
      <c r="AM36" s="2">
        <f t="shared" si="57"/>
        <v>54.99</v>
      </c>
      <c r="AN36" s="2">
        <f t="shared" si="58"/>
        <v>26.13</v>
      </c>
    </row>
    <row r="37" spans="1:40" x14ac:dyDescent="0.25">
      <c r="A37" s="13">
        <v>36</v>
      </c>
      <c r="B37" s="2" t="s">
        <v>27</v>
      </c>
      <c r="C37" s="2">
        <f t="shared" si="36"/>
        <v>36</v>
      </c>
      <c r="D37" s="2">
        <v>9</v>
      </c>
      <c r="E37" s="2">
        <f t="shared" si="37"/>
        <v>1.03</v>
      </c>
      <c r="F37" s="2">
        <v>75</v>
      </c>
      <c r="G37" s="2">
        <f t="shared" si="38"/>
        <v>17.45</v>
      </c>
      <c r="H37" s="2" t="b">
        <f t="shared" si="39"/>
        <v>1</v>
      </c>
      <c r="I37" s="35">
        <f t="shared" si="4"/>
        <v>67.7</v>
      </c>
      <c r="J37" s="35">
        <f t="shared" si="5"/>
        <v>77.5</v>
      </c>
      <c r="K37" s="35">
        <f t="shared" si="6"/>
        <v>67.599999999999994</v>
      </c>
      <c r="L37" s="35">
        <f t="shared" si="7"/>
        <v>85.5</v>
      </c>
      <c r="M37" s="11">
        <f t="shared" si="40"/>
        <v>140</v>
      </c>
      <c r="N37" s="11" t="b">
        <f t="shared" si="41"/>
        <v>0</v>
      </c>
      <c r="O37" s="2">
        <f t="shared" si="42"/>
        <v>76.8</v>
      </c>
      <c r="P37" s="11">
        <f t="shared" si="43"/>
        <v>2.2999999999999998</v>
      </c>
      <c r="Q37" s="11">
        <f t="shared" si="44"/>
        <v>4.97</v>
      </c>
      <c r="R37" s="11">
        <f t="shared" si="45"/>
        <v>7</v>
      </c>
      <c r="S37" s="11">
        <f t="shared" si="46"/>
        <v>7.46</v>
      </c>
      <c r="T37" s="11">
        <f t="shared" si="15"/>
        <v>55</v>
      </c>
      <c r="U37" s="2">
        <f t="shared" si="47"/>
        <v>30.17</v>
      </c>
      <c r="V37" s="11">
        <f t="shared" si="17"/>
        <v>2.8</v>
      </c>
      <c r="W37" s="11">
        <f t="shared" si="48"/>
        <v>21.88</v>
      </c>
      <c r="X37" s="11">
        <f t="shared" si="19"/>
        <v>7</v>
      </c>
      <c r="Y37" s="11">
        <f t="shared" si="49"/>
        <v>30.43</v>
      </c>
      <c r="Z37" s="11">
        <f t="shared" si="59"/>
        <v>13</v>
      </c>
      <c r="AA37" s="2">
        <f t="shared" si="50"/>
        <v>10.81</v>
      </c>
      <c r="AB37" s="11">
        <f t="shared" si="60"/>
        <v>3.4</v>
      </c>
      <c r="AC37" s="11">
        <f t="shared" si="51"/>
        <v>47.89</v>
      </c>
      <c r="AD37" s="11">
        <f t="shared" si="61"/>
        <v>18</v>
      </c>
      <c r="AE37" s="11">
        <f t="shared" si="52"/>
        <v>29.03</v>
      </c>
      <c r="AF37" s="11">
        <f t="shared" si="62"/>
        <v>35</v>
      </c>
      <c r="AG37" s="2">
        <f t="shared" si="53"/>
        <v>30.91</v>
      </c>
      <c r="AH37" s="11">
        <f t="shared" si="63"/>
        <v>2.8</v>
      </c>
      <c r="AI37" s="11">
        <f t="shared" si="54"/>
        <v>16</v>
      </c>
      <c r="AJ37" s="11">
        <f t="shared" si="64"/>
        <v>8</v>
      </c>
      <c r="AK37" s="11">
        <f t="shared" si="55"/>
        <v>13.33</v>
      </c>
      <c r="AL37" s="2">
        <f t="shared" si="56"/>
        <v>50.69</v>
      </c>
      <c r="AM37" s="2">
        <f t="shared" si="57"/>
        <v>43.92</v>
      </c>
      <c r="AN37" s="2">
        <f t="shared" si="58"/>
        <v>27.46</v>
      </c>
    </row>
    <row r="38" spans="1:40" x14ac:dyDescent="0.25">
      <c r="A38" s="13">
        <v>37</v>
      </c>
      <c r="B38" s="2" t="s">
        <v>18</v>
      </c>
      <c r="C38" s="2">
        <f t="shared" si="36"/>
        <v>37</v>
      </c>
      <c r="D38" s="2">
        <v>34</v>
      </c>
      <c r="E38" s="2">
        <f t="shared" si="37"/>
        <v>4.26</v>
      </c>
      <c r="F38" s="2">
        <v>125</v>
      </c>
      <c r="G38" s="2">
        <f t="shared" si="38"/>
        <v>29.25</v>
      </c>
      <c r="H38" s="2" t="b">
        <f t="shared" si="39"/>
        <v>1</v>
      </c>
      <c r="I38" s="35">
        <f t="shared" si="4"/>
        <v>49.6</v>
      </c>
      <c r="J38" s="35">
        <f t="shared" si="5"/>
        <v>76.599999999999994</v>
      </c>
      <c r="K38" s="35">
        <f t="shared" si="6"/>
        <v>71.8</v>
      </c>
      <c r="L38" s="35">
        <f t="shared" si="7"/>
        <v>89.4</v>
      </c>
      <c r="M38" s="11">
        <f t="shared" si="40"/>
        <v>91</v>
      </c>
      <c r="N38" s="11" t="b">
        <f t="shared" si="41"/>
        <v>1</v>
      </c>
      <c r="O38" s="2">
        <f t="shared" si="42"/>
        <v>49.72</v>
      </c>
      <c r="P38" s="11">
        <f t="shared" si="43"/>
        <v>3.9</v>
      </c>
      <c r="Q38" s="11">
        <f t="shared" si="44"/>
        <v>8.42</v>
      </c>
      <c r="R38" s="11">
        <f t="shared" si="45"/>
        <v>14</v>
      </c>
      <c r="S38" s="11">
        <f t="shared" si="46"/>
        <v>17.91</v>
      </c>
      <c r="T38" s="11">
        <f t="shared" si="15"/>
        <v>70</v>
      </c>
      <c r="U38" s="2">
        <f t="shared" si="47"/>
        <v>38.549999999999997</v>
      </c>
      <c r="V38" s="11">
        <f t="shared" si="17"/>
        <v>2.4</v>
      </c>
      <c r="W38" s="11">
        <f t="shared" si="48"/>
        <v>18.75</v>
      </c>
      <c r="X38" s="11">
        <f t="shared" si="19"/>
        <v>4</v>
      </c>
      <c r="Y38" s="11">
        <f t="shared" si="49"/>
        <v>17.39</v>
      </c>
      <c r="Z38" s="11">
        <f t="shared" si="59"/>
        <v>30</v>
      </c>
      <c r="AA38" s="2">
        <f t="shared" si="50"/>
        <v>26.13</v>
      </c>
      <c r="AB38" s="11">
        <f t="shared" si="60"/>
        <v>2.1</v>
      </c>
      <c r="AC38" s="11">
        <f t="shared" si="51"/>
        <v>29.58</v>
      </c>
      <c r="AD38" s="11">
        <f t="shared" si="61"/>
        <v>18</v>
      </c>
      <c r="AE38" s="11">
        <f t="shared" si="52"/>
        <v>29.03</v>
      </c>
      <c r="AF38" s="11">
        <f t="shared" si="62"/>
        <v>17</v>
      </c>
      <c r="AG38" s="2">
        <f t="shared" si="53"/>
        <v>14.55</v>
      </c>
      <c r="AH38" s="11">
        <f t="shared" si="63"/>
        <v>4.2</v>
      </c>
      <c r="AI38" s="11">
        <f t="shared" si="54"/>
        <v>24</v>
      </c>
      <c r="AJ38" s="11">
        <f t="shared" si="64"/>
        <v>7</v>
      </c>
      <c r="AK38" s="11">
        <f t="shared" si="55"/>
        <v>11.67</v>
      </c>
      <c r="AL38" s="2">
        <f t="shared" si="56"/>
        <v>38.67</v>
      </c>
      <c r="AM38" s="2">
        <f t="shared" si="57"/>
        <v>44.3</v>
      </c>
      <c r="AN38" s="2">
        <f t="shared" si="58"/>
        <v>28.02</v>
      </c>
    </row>
    <row r="39" spans="1:40" x14ac:dyDescent="0.25">
      <c r="A39" s="13">
        <v>40</v>
      </c>
      <c r="B39" s="38" t="s">
        <v>407</v>
      </c>
      <c r="C39" s="2">
        <f t="shared" si="36"/>
        <v>38</v>
      </c>
      <c r="D39" s="2">
        <v>100</v>
      </c>
      <c r="E39" s="2">
        <f t="shared" si="37"/>
        <v>12.79</v>
      </c>
      <c r="F39" s="2">
        <v>125</v>
      </c>
      <c r="G39" s="2">
        <f t="shared" si="38"/>
        <v>29.25</v>
      </c>
      <c r="H39" s="2" t="b">
        <f t="shared" si="39"/>
        <v>1</v>
      </c>
      <c r="I39" s="35">
        <f t="shared" si="4"/>
        <v>56.7</v>
      </c>
      <c r="J39" s="35">
        <f t="shared" si="5"/>
        <v>61.7</v>
      </c>
      <c r="K39" s="35">
        <f t="shared" si="6"/>
        <v>77.599999999999994</v>
      </c>
      <c r="L39" s="35">
        <f t="shared" si="7"/>
        <v>91.8</v>
      </c>
      <c r="M39" s="11">
        <f t="shared" si="40"/>
        <v>66</v>
      </c>
      <c r="N39" s="11" t="b">
        <f t="shared" si="41"/>
        <v>1</v>
      </c>
      <c r="O39" s="2">
        <f t="shared" si="42"/>
        <v>35.909999999999997</v>
      </c>
      <c r="P39" s="11">
        <f t="shared" si="43"/>
        <v>4.9000000000000004</v>
      </c>
      <c r="Q39" s="11">
        <f t="shared" si="44"/>
        <v>10.58</v>
      </c>
      <c r="R39" s="11">
        <f t="shared" si="45"/>
        <v>6</v>
      </c>
      <c r="S39" s="11">
        <f t="shared" si="46"/>
        <v>5.97</v>
      </c>
      <c r="T39" s="11">
        <f t="shared" si="15"/>
        <v>58</v>
      </c>
      <c r="U39" s="2">
        <f t="shared" si="47"/>
        <v>31.84</v>
      </c>
      <c r="V39" s="11">
        <f t="shared" si="17"/>
        <v>2.7</v>
      </c>
      <c r="W39" s="11">
        <f t="shared" si="48"/>
        <v>21.09</v>
      </c>
      <c r="X39" s="11">
        <f t="shared" si="19"/>
        <v>4</v>
      </c>
      <c r="Y39" s="11">
        <f t="shared" si="49"/>
        <v>17.39</v>
      </c>
      <c r="Z39" s="11">
        <f t="shared" si="59"/>
        <v>45</v>
      </c>
      <c r="AA39" s="2">
        <f t="shared" si="50"/>
        <v>39.64</v>
      </c>
      <c r="AB39" s="11">
        <f t="shared" si="60"/>
        <v>1.7</v>
      </c>
      <c r="AC39" s="11">
        <f t="shared" si="51"/>
        <v>23.94</v>
      </c>
      <c r="AD39" s="11">
        <f t="shared" si="61"/>
        <v>14</v>
      </c>
      <c r="AE39" s="11">
        <f t="shared" si="52"/>
        <v>22.58</v>
      </c>
      <c r="AF39" s="11">
        <f t="shared" si="62"/>
        <v>35</v>
      </c>
      <c r="AG39" s="2">
        <f t="shared" si="53"/>
        <v>30.91</v>
      </c>
      <c r="AH39" s="11">
        <f t="shared" si="63"/>
        <v>2.8</v>
      </c>
      <c r="AI39" s="11">
        <f t="shared" si="54"/>
        <v>16</v>
      </c>
      <c r="AJ39" s="11">
        <f t="shared" si="64"/>
        <v>6</v>
      </c>
      <c r="AK39" s="11">
        <f t="shared" si="55"/>
        <v>10</v>
      </c>
      <c r="AL39" s="2">
        <f t="shared" si="56"/>
        <v>34.909999999999997</v>
      </c>
      <c r="AM39" s="2">
        <f t="shared" si="57"/>
        <v>44.63</v>
      </c>
      <c r="AN39" s="2">
        <f t="shared" si="58"/>
        <v>28.22</v>
      </c>
    </row>
    <row r="40" spans="1:40" x14ac:dyDescent="0.25">
      <c r="A40" s="13">
        <v>39</v>
      </c>
      <c r="B40" s="2" t="s">
        <v>108</v>
      </c>
      <c r="C40" s="2">
        <f t="shared" si="36"/>
        <v>39</v>
      </c>
      <c r="D40" s="2">
        <v>56</v>
      </c>
      <c r="E40" s="2">
        <f t="shared" si="37"/>
        <v>7.11</v>
      </c>
      <c r="F40" s="2">
        <v>125</v>
      </c>
      <c r="G40" s="2">
        <f t="shared" si="38"/>
        <v>29.25</v>
      </c>
      <c r="H40" s="2" t="b">
        <f t="shared" si="39"/>
        <v>1</v>
      </c>
      <c r="I40" s="35">
        <f t="shared" si="4"/>
        <v>58.3</v>
      </c>
      <c r="J40" s="35">
        <f t="shared" si="5"/>
        <v>66.7</v>
      </c>
      <c r="K40" s="35">
        <f t="shared" si="6"/>
        <v>71.8</v>
      </c>
      <c r="L40" s="35">
        <f t="shared" si="7"/>
        <v>90.6</v>
      </c>
      <c r="M40" s="11">
        <f t="shared" si="40"/>
        <v>86</v>
      </c>
      <c r="N40" s="11" t="b">
        <f t="shared" si="41"/>
        <v>1</v>
      </c>
      <c r="O40" s="2">
        <f t="shared" si="42"/>
        <v>46.96</v>
      </c>
      <c r="P40" s="11">
        <f t="shared" si="43"/>
        <v>4.0999999999999996</v>
      </c>
      <c r="Q40" s="11">
        <f t="shared" si="44"/>
        <v>8.86</v>
      </c>
      <c r="R40" s="11">
        <f t="shared" si="45"/>
        <v>10</v>
      </c>
      <c r="S40" s="11">
        <f t="shared" si="46"/>
        <v>11.94</v>
      </c>
      <c r="T40" s="11">
        <f t="shared" si="15"/>
        <v>51</v>
      </c>
      <c r="U40" s="2">
        <f t="shared" si="47"/>
        <v>27.93</v>
      </c>
      <c r="V40" s="11">
        <f t="shared" si="17"/>
        <v>2.9</v>
      </c>
      <c r="W40" s="11">
        <f t="shared" si="48"/>
        <v>22.66</v>
      </c>
      <c r="X40" s="11">
        <f t="shared" si="19"/>
        <v>7</v>
      </c>
      <c r="Y40" s="11">
        <f t="shared" si="49"/>
        <v>30.43</v>
      </c>
      <c r="Z40" s="11">
        <f t="shared" si="59"/>
        <v>45</v>
      </c>
      <c r="AA40" s="2">
        <f t="shared" si="50"/>
        <v>39.64</v>
      </c>
      <c r="AB40" s="11">
        <f t="shared" si="60"/>
        <v>1.7</v>
      </c>
      <c r="AC40" s="11">
        <f t="shared" si="51"/>
        <v>23.94</v>
      </c>
      <c r="AD40" s="11">
        <f t="shared" si="61"/>
        <v>12</v>
      </c>
      <c r="AE40" s="11">
        <f t="shared" si="52"/>
        <v>19.350000000000001</v>
      </c>
      <c r="AF40" s="11">
        <f t="shared" si="62"/>
        <v>25</v>
      </c>
      <c r="AG40" s="2">
        <f t="shared" si="53"/>
        <v>21.82</v>
      </c>
      <c r="AH40" s="11">
        <f t="shared" si="63"/>
        <v>3.7</v>
      </c>
      <c r="AI40" s="11">
        <f t="shared" si="54"/>
        <v>21.14</v>
      </c>
      <c r="AJ40" s="11">
        <f t="shared" si="64"/>
        <v>5</v>
      </c>
      <c r="AK40" s="11">
        <f t="shared" si="55"/>
        <v>8.33</v>
      </c>
      <c r="AL40" s="2">
        <f t="shared" si="56"/>
        <v>38.29</v>
      </c>
      <c r="AM40" s="2">
        <f t="shared" si="57"/>
        <v>44.25</v>
      </c>
      <c r="AN40" s="2">
        <f t="shared" si="58"/>
        <v>28.44</v>
      </c>
    </row>
    <row r="41" spans="1:40" x14ac:dyDescent="0.25">
      <c r="A41" s="13">
        <v>35</v>
      </c>
      <c r="B41" s="2" t="s">
        <v>42</v>
      </c>
      <c r="C41" s="2">
        <f t="shared" si="36"/>
        <v>40</v>
      </c>
      <c r="D41" s="2">
        <v>4</v>
      </c>
      <c r="E41" s="2">
        <f t="shared" si="37"/>
        <v>0.39</v>
      </c>
      <c r="F41" s="2">
        <v>22</v>
      </c>
      <c r="G41" s="2">
        <f t="shared" si="38"/>
        <v>4.95</v>
      </c>
      <c r="H41" s="2" t="b">
        <f t="shared" si="39"/>
        <v>1</v>
      </c>
      <c r="I41" s="35">
        <f t="shared" si="4"/>
        <v>78.900000000000006</v>
      </c>
      <c r="J41" s="35">
        <f t="shared" si="5"/>
        <v>80.900000000000006</v>
      </c>
      <c r="K41" s="35">
        <f t="shared" si="6"/>
        <v>78.8</v>
      </c>
      <c r="L41" s="35">
        <f t="shared" si="7"/>
        <v>90.8</v>
      </c>
      <c r="M41" s="11">
        <f t="shared" si="40"/>
        <v>122</v>
      </c>
      <c r="N41" s="11" t="b">
        <f t="shared" si="41"/>
        <v>0</v>
      </c>
      <c r="O41" s="2">
        <f t="shared" si="42"/>
        <v>66.849999999999994</v>
      </c>
      <c r="P41" s="11">
        <f t="shared" si="43"/>
        <v>2.7</v>
      </c>
      <c r="Q41" s="11">
        <f t="shared" si="44"/>
        <v>5.83</v>
      </c>
      <c r="R41" s="11">
        <f t="shared" si="45"/>
        <v>6</v>
      </c>
      <c r="S41" s="11">
        <f t="shared" si="46"/>
        <v>5.97</v>
      </c>
      <c r="T41" s="11">
        <f t="shared" si="15"/>
        <v>70</v>
      </c>
      <c r="U41" s="2">
        <f t="shared" si="47"/>
        <v>38.549999999999997</v>
      </c>
      <c r="V41" s="11">
        <f t="shared" si="17"/>
        <v>2.4</v>
      </c>
      <c r="W41" s="11">
        <f t="shared" si="48"/>
        <v>18.75</v>
      </c>
      <c r="X41" s="11">
        <f t="shared" si="19"/>
        <v>4</v>
      </c>
      <c r="Y41" s="11">
        <f t="shared" si="49"/>
        <v>17.39</v>
      </c>
      <c r="Z41" s="11">
        <f t="shared" si="59"/>
        <v>75</v>
      </c>
      <c r="AA41" s="2">
        <f t="shared" si="50"/>
        <v>66.67</v>
      </c>
      <c r="AB41" s="11">
        <f t="shared" si="60"/>
        <v>1.2</v>
      </c>
      <c r="AC41" s="11">
        <f t="shared" si="51"/>
        <v>16.899999999999999</v>
      </c>
      <c r="AD41" s="11">
        <f t="shared" si="61"/>
        <v>2</v>
      </c>
      <c r="AE41" s="11">
        <f t="shared" si="52"/>
        <v>3.23</v>
      </c>
      <c r="AF41" s="11">
        <v>111</v>
      </c>
      <c r="AG41" s="2">
        <f t="shared" si="53"/>
        <v>100</v>
      </c>
      <c r="AH41" s="11">
        <v>0</v>
      </c>
      <c r="AI41" s="11">
        <f t="shared" si="54"/>
        <v>0</v>
      </c>
      <c r="AJ41" s="11">
        <v>0</v>
      </c>
      <c r="AK41" s="11">
        <f t="shared" si="55"/>
        <v>0</v>
      </c>
      <c r="AL41" s="2">
        <f t="shared" si="56"/>
        <v>66.14</v>
      </c>
      <c r="AM41" s="2">
        <f t="shared" si="57"/>
        <v>46.55</v>
      </c>
      <c r="AN41" s="2">
        <f t="shared" si="58"/>
        <v>28.51</v>
      </c>
    </row>
    <row r="42" spans="1:40" x14ac:dyDescent="0.25">
      <c r="A42" s="13">
        <v>38</v>
      </c>
      <c r="B42" s="38" t="s">
        <v>382</v>
      </c>
      <c r="C42" s="2">
        <f t="shared" si="36"/>
        <v>41</v>
      </c>
      <c r="D42" s="2">
        <v>95</v>
      </c>
      <c r="E42" s="2">
        <f t="shared" si="37"/>
        <v>12.14</v>
      </c>
      <c r="F42" s="2">
        <v>75</v>
      </c>
      <c r="G42" s="2">
        <f t="shared" si="38"/>
        <v>17.45</v>
      </c>
      <c r="H42" s="2" t="b">
        <f t="shared" si="39"/>
        <v>0</v>
      </c>
      <c r="I42" s="35">
        <f t="shared" si="4"/>
        <v>58.2</v>
      </c>
      <c r="J42" s="35">
        <f t="shared" si="5"/>
        <v>69.2</v>
      </c>
      <c r="K42" s="35">
        <f t="shared" si="6"/>
        <v>85.8</v>
      </c>
      <c r="L42" s="35">
        <f t="shared" si="7"/>
        <v>90.5</v>
      </c>
      <c r="M42" s="11">
        <f t="shared" si="40"/>
        <v>75</v>
      </c>
      <c r="N42" s="11" t="b">
        <f t="shared" si="41"/>
        <v>1</v>
      </c>
      <c r="O42" s="2">
        <f t="shared" si="42"/>
        <v>40.880000000000003</v>
      </c>
      <c r="P42" s="11">
        <f t="shared" si="43"/>
        <v>4.5999999999999996</v>
      </c>
      <c r="Q42" s="11">
        <f t="shared" si="44"/>
        <v>9.94</v>
      </c>
      <c r="R42" s="11">
        <f t="shared" si="45"/>
        <v>11</v>
      </c>
      <c r="S42" s="11">
        <f t="shared" si="46"/>
        <v>13.43</v>
      </c>
      <c r="T42" s="11">
        <f t="shared" si="15"/>
        <v>148</v>
      </c>
      <c r="U42" s="2">
        <f t="shared" si="47"/>
        <v>82.12</v>
      </c>
      <c r="V42" s="11">
        <f t="shared" si="17"/>
        <v>1.2</v>
      </c>
      <c r="W42" s="11">
        <f t="shared" si="48"/>
        <v>9.3800000000000008</v>
      </c>
      <c r="X42" s="11">
        <f t="shared" si="19"/>
        <v>2</v>
      </c>
      <c r="Y42" s="11">
        <f t="shared" si="49"/>
        <v>8.6999999999999993</v>
      </c>
      <c r="Z42" s="11">
        <f t="shared" si="59"/>
        <v>11</v>
      </c>
      <c r="AA42" s="2">
        <f t="shared" si="50"/>
        <v>9.01</v>
      </c>
      <c r="AB42" s="11">
        <f t="shared" si="60"/>
        <v>3.5</v>
      </c>
      <c r="AC42" s="11">
        <f t="shared" si="51"/>
        <v>49.3</v>
      </c>
      <c r="AD42" s="11">
        <f t="shared" si="61"/>
        <v>25</v>
      </c>
      <c r="AE42" s="11">
        <f t="shared" si="52"/>
        <v>40.32</v>
      </c>
      <c r="AF42" s="11">
        <f>VLOOKUP(B42,InterD_Rank,2,FALSE)</f>
        <v>73</v>
      </c>
      <c r="AG42" s="2">
        <f t="shared" si="53"/>
        <v>65.45</v>
      </c>
      <c r="AH42" s="11">
        <f>VLOOKUP(B42,InterD_Rank,3,FALSE)</f>
        <v>1.5</v>
      </c>
      <c r="AI42" s="11">
        <f t="shared" si="54"/>
        <v>8.57</v>
      </c>
      <c r="AJ42" s="11">
        <f>VLOOKUP(B42,InterD_Rank,4,FALSE)</f>
        <v>3</v>
      </c>
      <c r="AK42" s="11">
        <f t="shared" si="55"/>
        <v>5</v>
      </c>
      <c r="AL42" s="2">
        <f t="shared" si="56"/>
        <v>48.03</v>
      </c>
      <c r="AM42" s="2">
        <f t="shared" si="57"/>
        <v>49.74</v>
      </c>
      <c r="AN42" s="2">
        <f t="shared" si="58"/>
        <v>28.62</v>
      </c>
    </row>
    <row r="43" spans="1:40" x14ac:dyDescent="0.25">
      <c r="A43" s="13">
        <v>67</v>
      </c>
      <c r="B43" s="2" t="s">
        <v>389</v>
      </c>
      <c r="C43" s="2">
        <f t="shared" si="36"/>
        <v>42</v>
      </c>
      <c r="D43" s="2">
        <v>283</v>
      </c>
      <c r="E43" s="2">
        <f t="shared" si="37"/>
        <v>36.43</v>
      </c>
      <c r="F43" s="2">
        <v>175</v>
      </c>
      <c r="G43" s="2">
        <f t="shared" si="38"/>
        <v>41.04</v>
      </c>
      <c r="H43" s="2" t="b">
        <f t="shared" si="39"/>
        <v>0</v>
      </c>
      <c r="I43" s="2">
        <v>51.8</v>
      </c>
      <c r="J43" s="2">
        <v>55</v>
      </c>
      <c r="K43" s="2">
        <v>80.599999999999994</v>
      </c>
      <c r="L43" s="2">
        <v>94.3</v>
      </c>
      <c r="M43" s="11">
        <f t="shared" si="40"/>
        <v>26</v>
      </c>
      <c r="N43" s="11" t="b">
        <f t="shared" si="41"/>
        <v>1</v>
      </c>
      <c r="O43" s="2">
        <f t="shared" si="42"/>
        <v>13.81</v>
      </c>
      <c r="P43" s="11">
        <f t="shared" si="43"/>
        <v>9</v>
      </c>
      <c r="Q43" s="11">
        <f t="shared" si="44"/>
        <v>19.440000000000001</v>
      </c>
      <c r="R43" s="11">
        <f t="shared" si="45"/>
        <v>18</v>
      </c>
      <c r="S43" s="11">
        <f t="shared" si="46"/>
        <v>23.88</v>
      </c>
      <c r="T43" s="11">
        <f t="shared" si="15"/>
        <v>58</v>
      </c>
      <c r="U43" s="2">
        <f t="shared" si="47"/>
        <v>31.84</v>
      </c>
      <c r="V43" s="11">
        <f t="shared" si="17"/>
        <v>2.7</v>
      </c>
      <c r="W43" s="11">
        <f t="shared" si="48"/>
        <v>21.09</v>
      </c>
      <c r="X43" s="11">
        <f t="shared" si="19"/>
        <v>8</v>
      </c>
      <c r="Y43" s="11">
        <f t="shared" si="49"/>
        <v>34.78</v>
      </c>
      <c r="Z43" s="11">
        <f t="shared" si="59"/>
        <v>32</v>
      </c>
      <c r="AA43" s="2">
        <f t="shared" si="50"/>
        <v>27.93</v>
      </c>
      <c r="AB43" s="11">
        <f t="shared" si="60"/>
        <v>2</v>
      </c>
      <c r="AC43" s="11">
        <f t="shared" si="51"/>
        <v>28.17</v>
      </c>
      <c r="AD43" s="11">
        <f t="shared" si="61"/>
        <v>13</v>
      </c>
      <c r="AE43" s="11">
        <f t="shared" si="52"/>
        <v>20.97</v>
      </c>
      <c r="AF43" s="11">
        <f>VLOOKUP(B43,InterD_Rank,2,FALSE)</f>
        <v>18</v>
      </c>
      <c r="AG43" s="2">
        <f t="shared" si="53"/>
        <v>15.45</v>
      </c>
      <c r="AH43" s="11">
        <f>VLOOKUP(B43,InterD_Rank,3,FALSE)</f>
        <v>4.0999999999999996</v>
      </c>
      <c r="AI43" s="11">
        <f t="shared" si="54"/>
        <v>23.43</v>
      </c>
      <c r="AJ43" s="11">
        <f>VLOOKUP(B43,InterD_Rank,4,FALSE)</f>
        <v>13</v>
      </c>
      <c r="AK43" s="11">
        <f t="shared" si="55"/>
        <v>21.67</v>
      </c>
      <c r="AL43" s="2">
        <f t="shared" si="56"/>
        <v>19.78</v>
      </c>
      <c r="AM43" s="2">
        <f t="shared" si="57"/>
        <v>49.28</v>
      </c>
      <c r="AN43" s="2">
        <f t="shared" si="58"/>
        <v>31.61</v>
      </c>
    </row>
    <row r="44" spans="1:40" x14ac:dyDescent="0.25">
      <c r="A44" s="13">
        <v>42</v>
      </c>
      <c r="B44" s="2" t="s">
        <v>53</v>
      </c>
      <c r="C44" s="2">
        <f t="shared" si="36"/>
        <v>43</v>
      </c>
      <c r="D44" s="2">
        <v>61</v>
      </c>
      <c r="E44" s="2">
        <f t="shared" si="37"/>
        <v>7.75</v>
      </c>
      <c r="F44" s="2">
        <v>42</v>
      </c>
      <c r="G44" s="2">
        <f t="shared" si="38"/>
        <v>9.67</v>
      </c>
      <c r="H44" s="2" t="b">
        <f t="shared" si="39"/>
        <v>0</v>
      </c>
      <c r="I44" s="35">
        <f>VLOOKUP(B44,Uni_TU_Lkp,6,FALSE)</f>
        <v>73.8</v>
      </c>
      <c r="J44" s="35">
        <f>VLOOKUP(B44,Uni_TU_Lkp,7,FALSE)</f>
        <v>75.400000000000006</v>
      </c>
      <c r="K44" s="35">
        <f>VLOOKUP(B44,Uni_TU_Lkp,8,FALSE)</f>
        <v>80.599999999999994</v>
      </c>
      <c r="L44" s="35">
        <f>VLOOKUP(B44,Uni_TU_Lkp,9,FALSE)</f>
        <v>84.5</v>
      </c>
      <c r="M44" s="11">
        <f t="shared" si="40"/>
        <v>113</v>
      </c>
      <c r="N44" s="11" t="b">
        <f t="shared" si="41"/>
        <v>0</v>
      </c>
      <c r="O44" s="2">
        <f t="shared" si="42"/>
        <v>61.88</v>
      </c>
      <c r="P44" s="11">
        <f t="shared" si="43"/>
        <v>2.9</v>
      </c>
      <c r="Q44" s="11">
        <f t="shared" si="44"/>
        <v>6.26</v>
      </c>
      <c r="R44" s="11">
        <f t="shared" si="45"/>
        <v>9</v>
      </c>
      <c r="S44" s="11">
        <f t="shared" si="46"/>
        <v>10.45</v>
      </c>
      <c r="T44" s="11">
        <f t="shared" si="15"/>
        <v>46</v>
      </c>
      <c r="U44" s="2">
        <f t="shared" si="47"/>
        <v>25.14</v>
      </c>
      <c r="V44" s="11">
        <f t="shared" si="17"/>
        <v>3.1</v>
      </c>
      <c r="W44" s="11">
        <f t="shared" si="48"/>
        <v>24.22</v>
      </c>
      <c r="X44" s="11">
        <f t="shared" si="19"/>
        <v>7</v>
      </c>
      <c r="Y44" s="11">
        <f t="shared" si="49"/>
        <v>30.43</v>
      </c>
      <c r="Z44" s="11">
        <v>112</v>
      </c>
      <c r="AA44" s="2">
        <f t="shared" si="50"/>
        <v>100</v>
      </c>
      <c r="AB44" s="11">
        <v>0</v>
      </c>
      <c r="AC44" s="11">
        <f t="shared" si="51"/>
        <v>0</v>
      </c>
      <c r="AD44" s="11">
        <v>0</v>
      </c>
      <c r="AE44" s="11">
        <f t="shared" si="52"/>
        <v>0</v>
      </c>
      <c r="AF44" s="11">
        <v>111</v>
      </c>
      <c r="AG44" s="2">
        <f t="shared" si="53"/>
        <v>100</v>
      </c>
      <c r="AH44" s="11">
        <v>0</v>
      </c>
      <c r="AI44" s="11">
        <f t="shared" si="54"/>
        <v>0</v>
      </c>
      <c r="AJ44" s="11">
        <v>0</v>
      </c>
      <c r="AK44" s="11">
        <f t="shared" si="55"/>
        <v>0</v>
      </c>
      <c r="AL44" s="2">
        <f t="shared" si="56"/>
        <v>65.97</v>
      </c>
      <c r="AM44" s="2">
        <f t="shared" si="57"/>
        <v>44.79</v>
      </c>
      <c r="AN44" s="2">
        <f t="shared" si="58"/>
        <v>31.81</v>
      </c>
    </row>
    <row r="45" spans="1:40" x14ac:dyDescent="0.25">
      <c r="A45" s="13">
        <v>43</v>
      </c>
      <c r="B45" s="38" t="s">
        <v>397</v>
      </c>
      <c r="C45" s="2">
        <f t="shared" si="36"/>
        <v>44</v>
      </c>
      <c r="D45" s="2">
        <v>83</v>
      </c>
      <c r="E45" s="2">
        <f t="shared" si="37"/>
        <v>10.59</v>
      </c>
      <c r="F45" s="2">
        <v>125</v>
      </c>
      <c r="G45" s="2">
        <f t="shared" si="38"/>
        <v>29.25</v>
      </c>
      <c r="H45" s="2" t="b">
        <f t="shared" si="39"/>
        <v>1</v>
      </c>
      <c r="I45" s="35">
        <f>VLOOKUP(B45,Uni_TU_Lkp,6,FALSE)</f>
        <v>65</v>
      </c>
      <c r="J45" s="35">
        <f>VLOOKUP(B45,Uni_TU_Lkp,7,FALSE)</f>
        <v>61.3</v>
      </c>
      <c r="K45" s="35">
        <f>VLOOKUP(B45,Uni_TU_Lkp,8,FALSE)</f>
        <v>71.8</v>
      </c>
      <c r="L45" s="35">
        <f>VLOOKUP(B45,Uni_TU_Lkp,9,FALSE)</f>
        <v>91.9</v>
      </c>
      <c r="M45" s="11">
        <f t="shared" si="40"/>
        <v>77</v>
      </c>
      <c r="N45" s="11" t="b">
        <f t="shared" si="41"/>
        <v>1</v>
      </c>
      <c r="O45" s="2">
        <f t="shared" si="42"/>
        <v>41.99</v>
      </c>
      <c r="P45" s="11">
        <f t="shared" si="43"/>
        <v>4.4000000000000004</v>
      </c>
      <c r="Q45" s="11">
        <f t="shared" si="44"/>
        <v>9.5</v>
      </c>
      <c r="R45" s="11">
        <f t="shared" si="45"/>
        <v>9</v>
      </c>
      <c r="S45" s="11">
        <f t="shared" si="46"/>
        <v>10.45</v>
      </c>
      <c r="T45" s="11">
        <v>180</v>
      </c>
      <c r="U45" s="2">
        <f t="shared" si="47"/>
        <v>100</v>
      </c>
      <c r="V45" s="11">
        <v>0</v>
      </c>
      <c r="W45" s="11">
        <f t="shared" si="48"/>
        <v>0</v>
      </c>
      <c r="X45" s="11">
        <v>0</v>
      </c>
      <c r="Y45" s="11">
        <f t="shared" si="49"/>
        <v>0</v>
      </c>
      <c r="Z45" s="11">
        <f t="shared" ref="Z45:Z51" si="65">VLOOKUP(B45,Systems_Rank,2,FALSE)</f>
        <v>51</v>
      </c>
      <c r="AA45" s="2">
        <f t="shared" si="50"/>
        <v>45.05</v>
      </c>
      <c r="AB45" s="11">
        <f t="shared" ref="AB45:AB51" si="66">VLOOKUP(B45,Systems_Rank,3,FALSE)</f>
        <v>1.6</v>
      </c>
      <c r="AC45" s="11">
        <f t="shared" si="51"/>
        <v>22.54</v>
      </c>
      <c r="AD45" s="11">
        <f t="shared" ref="AD45:AD51" si="67">VLOOKUP(B45,Systems_Rank,4,FALSE)</f>
        <v>9</v>
      </c>
      <c r="AE45" s="11">
        <f t="shared" si="52"/>
        <v>14.52</v>
      </c>
      <c r="AF45" s="11">
        <f t="shared" ref="AF45:AF51" si="68">VLOOKUP(B45,InterD_Rank,2,FALSE)</f>
        <v>24</v>
      </c>
      <c r="AG45" s="2">
        <f t="shared" si="53"/>
        <v>20.91</v>
      </c>
      <c r="AH45" s="11">
        <f t="shared" ref="AH45:AH51" si="69">VLOOKUP(B45,InterD_Rank,3,FALSE)</f>
        <v>3.8</v>
      </c>
      <c r="AI45" s="11">
        <f t="shared" si="54"/>
        <v>21.71</v>
      </c>
      <c r="AJ45" s="11">
        <f t="shared" ref="AJ45:AJ51" si="70">VLOOKUP(B45,InterD_Rank,4,FALSE)</f>
        <v>8</v>
      </c>
      <c r="AK45" s="11">
        <f t="shared" si="55"/>
        <v>13.33</v>
      </c>
      <c r="AL45" s="2">
        <f t="shared" si="56"/>
        <v>50.89</v>
      </c>
      <c r="AM45" s="2">
        <f t="shared" si="57"/>
        <v>47.91</v>
      </c>
      <c r="AN45" s="2">
        <f t="shared" si="58"/>
        <v>34.17</v>
      </c>
    </row>
    <row r="46" spans="1:40" x14ac:dyDescent="0.25">
      <c r="A46" s="13">
        <v>47</v>
      </c>
      <c r="B46" s="2" t="s">
        <v>420</v>
      </c>
      <c r="C46" s="2">
        <f t="shared" si="36"/>
        <v>45</v>
      </c>
      <c r="D46" s="2">
        <v>214</v>
      </c>
      <c r="E46" s="2">
        <f t="shared" si="37"/>
        <v>27.52</v>
      </c>
      <c r="F46" s="2">
        <v>175</v>
      </c>
      <c r="G46" s="2">
        <f t="shared" si="38"/>
        <v>41.04</v>
      </c>
      <c r="H46" s="2" t="b">
        <f t="shared" si="39"/>
        <v>0</v>
      </c>
      <c r="I46" s="35">
        <f>VLOOKUP(B46,Uni_TU_Lkp,6,FALSE)</f>
        <v>55.5</v>
      </c>
      <c r="J46" s="35">
        <f>VLOOKUP(B46,Uni_TU_Lkp,7,FALSE)</f>
        <v>61.8</v>
      </c>
      <c r="K46" s="35">
        <f>VLOOKUP(B46,Uni_TU_Lkp,8,FALSE)</f>
        <v>71</v>
      </c>
      <c r="L46" s="35">
        <f>VLOOKUP(B46,Uni_TU_Lkp,9,FALSE)</f>
        <v>87.9</v>
      </c>
      <c r="M46" s="11">
        <f t="shared" si="40"/>
        <v>42</v>
      </c>
      <c r="N46" s="11" t="b">
        <f t="shared" si="41"/>
        <v>1</v>
      </c>
      <c r="O46" s="2">
        <f t="shared" si="42"/>
        <v>22.65</v>
      </c>
      <c r="P46" s="11">
        <f t="shared" si="43"/>
        <v>6.2</v>
      </c>
      <c r="Q46" s="11">
        <f t="shared" si="44"/>
        <v>13.39</v>
      </c>
      <c r="R46" s="11">
        <f t="shared" si="45"/>
        <v>11</v>
      </c>
      <c r="S46" s="11">
        <f t="shared" si="46"/>
        <v>13.43</v>
      </c>
      <c r="T46" s="11">
        <f t="shared" ref="T46:T52" si="71">VLOOKUP(B46,Theory_Rank,2,FALSE)</f>
        <v>66</v>
      </c>
      <c r="U46" s="2">
        <f t="shared" si="47"/>
        <v>36.31</v>
      </c>
      <c r="V46" s="11">
        <f t="shared" ref="V46:V52" si="72">VLOOKUP(B46,Theory_Rank,3,FALSE)</f>
        <v>2.5</v>
      </c>
      <c r="W46" s="11">
        <f t="shared" si="48"/>
        <v>19.53</v>
      </c>
      <c r="X46" s="11">
        <f t="shared" ref="X46:X52" si="73">VLOOKUP(B46,Theory_Rank,4,FALSE)</f>
        <v>3</v>
      </c>
      <c r="Y46" s="11">
        <f t="shared" si="49"/>
        <v>13.04</v>
      </c>
      <c r="Z46" s="11">
        <f t="shared" si="65"/>
        <v>51</v>
      </c>
      <c r="AA46" s="2">
        <f t="shared" si="50"/>
        <v>45.05</v>
      </c>
      <c r="AB46" s="11">
        <f t="shared" si="66"/>
        <v>1.6</v>
      </c>
      <c r="AC46" s="11">
        <f t="shared" si="51"/>
        <v>22.54</v>
      </c>
      <c r="AD46" s="11">
        <f t="shared" si="67"/>
        <v>13</v>
      </c>
      <c r="AE46" s="11">
        <f t="shared" si="52"/>
        <v>20.97</v>
      </c>
      <c r="AF46" s="11">
        <f t="shared" si="68"/>
        <v>50</v>
      </c>
      <c r="AG46" s="2">
        <f t="shared" si="53"/>
        <v>44.55</v>
      </c>
      <c r="AH46" s="11">
        <f t="shared" si="69"/>
        <v>2.1</v>
      </c>
      <c r="AI46" s="11">
        <f t="shared" si="54"/>
        <v>12</v>
      </c>
      <c r="AJ46" s="11">
        <f t="shared" si="70"/>
        <v>6</v>
      </c>
      <c r="AK46" s="11">
        <f t="shared" si="55"/>
        <v>10</v>
      </c>
      <c r="AL46" s="2">
        <f t="shared" si="56"/>
        <v>32.03</v>
      </c>
      <c r="AM46" s="2">
        <f t="shared" si="57"/>
        <v>44.19</v>
      </c>
      <c r="AN46" s="2">
        <f t="shared" si="58"/>
        <v>34.729999999999997</v>
      </c>
    </row>
    <row r="47" spans="1:40" x14ac:dyDescent="0.25">
      <c r="A47" s="13">
        <v>44</v>
      </c>
      <c r="B47" s="2" t="s">
        <v>400</v>
      </c>
      <c r="C47" s="2">
        <f t="shared" si="36"/>
        <v>46</v>
      </c>
      <c r="D47" s="2">
        <v>132</v>
      </c>
      <c r="E47" s="2">
        <f t="shared" si="37"/>
        <v>16.93</v>
      </c>
      <c r="F47" s="2">
        <v>175</v>
      </c>
      <c r="G47" s="2">
        <f t="shared" si="38"/>
        <v>41.04</v>
      </c>
      <c r="H47" s="2" t="b">
        <f t="shared" si="39"/>
        <v>1</v>
      </c>
      <c r="I47" s="35">
        <f>VLOOKUP(B47,Uni_TU_Lkp,6,FALSE)</f>
        <v>58.9</v>
      </c>
      <c r="J47" s="35">
        <f>VLOOKUP(B47,Uni_TU_Lkp,7,FALSE)</f>
        <v>49.5</v>
      </c>
      <c r="K47" s="35">
        <f>VLOOKUP(B47,Uni_TU_Lkp,8,FALSE)</f>
        <v>77.900000000000006</v>
      </c>
      <c r="L47" s="35">
        <f>VLOOKUP(B47,Uni_TU_Lkp,9,FALSE)</f>
        <v>91.8</v>
      </c>
      <c r="M47" s="11">
        <f t="shared" si="40"/>
        <v>80</v>
      </c>
      <c r="N47" s="11" t="b">
        <f t="shared" si="41"/>
        <v>1</v>
      </c>
      <c r="O47" s="2">
        <f t="shared" si="42"/>
        <v>43.65</v>
      </c>
      <c r="P47" s="11">
        <f t="shared" si="43"/>
        <v>4.3</v>
      </c>
      <c r="Q47" s="11">
        <f t="shared" si="44"/>
        <v>9.2899999999999991</v>
      </c>
      <c r="R47" s="11">
        <f t="shared" si="45"/>
        <v>15</v>
      </c>
      <c r="S47" s="11">
        <f t="shared" si="46"/>
        <v>19.399999999999999</v>
      </c>
      <c r="T47" s="11">
        <f t="shared" si="71"/>
        <v>36</v>
      </c>
      <c r="U47" s="2">
        <f t="shared" si="47"/>
        <v>19.55</v>
      </c>
      <c r="V47" s="11">
        <f t="shared" si="72"/>
        <v>3.7</v>
      </c>
      <c r="W47" s="11">
        <f t="shared" si="48"/>
        <v>28.91</v>
      </c>
      <c r="X47" s="11">
        <f t="shared" si="73"/>
        <v>4</v>
      </c>
      <c r="Y47" s="11">
        <f t="shared" si="49"/>
        <v>17.39</v>
      </c>
      <c r="Z47" s="11">
        <f t="shared" si="65"/>
        <v>25</v>
      </c>
      <c r="AA47" s="2">
        <f t="shared" si="50"/>
        <v>21.62</v>
      </c>
      <c r="AB47" s="11">
        <f t="shared" si="66"/>
        <v>2.5</v>
      </c>
      <c r="AC47" s="11">
        <f t="shared" si="51"/>
        <v>35.21</v>
      </c>
      <c r="AD47" s="11">
        <f t="shared" si="67"/>
        <v>15</v>
      </c>
      <c r="AE47" s="11">
        <f t="shared" si="52"/>
        <v>24.19</v>
      </c>
      <c r="AF47" s="11">
        <f t="shared" si="68"/>
        <v>63</v>
      </c>
      <c r="AG47" s="2">
        <f t="shared" si="53"/>
        <v>56.36</v>
      </c>
      <c r="AH47" s="11">
        <f t="shared" si="69"/>
        <v>1.8</v>
      </c>
      <c r="AI47" s="11">
        <f t="shared" si="54"/>
        <v>10.29</v>
      </c>
      <c r="AJ47" s="11">
        <f t="shared" si="70"/>
        <v>4</v>
      </c>
      <c r="AK47" s="11">
        <f t="shared" si="55"/>
        <v>6.67</v>
      </c>
      <c r="AL47" s="2">
        <f t="shared" si="56"/>
        <v>37.43</v>
      </c>
      <c r="AM47" s="2">
        <f t="shared" si="57"/>
        <v>46.74</v>
      </c>
      <c r="AN47" s="2">
        <f t="shared" si="58"/>
        <v>34.770000000000003</v>
      </c>
    </row>
    <row r="48" spans="1:40" x14ac:dyDescent="0.25">
      <c r="A48" s="13">
        <v>59</v>
      </c>
      <c r="B48" s="2" t="s">
        <v>351</v>
      </c>
      <c r="C48" s="2">
        <f t="shared" si="36"/>
        <v>47</v>
      </c>
      <c r="D48" s="2">
        <v>326</v>
      </c>
      <c r="E48" s="2">
        <f t="shared" si="37"/>
        <v>41.99</v>
      </c>
      <c r="F48" s="2">
        <v>225</v>
      </c>
      <c r="G48" s="2">
        <f t="shared" si="38"/>
        <v>52.83</v>
      </c>
      <c r="H48" s="2" t="b">
        <f t="shared" si="39"/>
        <v>0</v>
      </c>
      <c r="I48" s="35">
        <v>45.1</v>
      </c>
      <c r="J48" s="35">
        <v>63.8</v>
      </c>
      <c r="K48" s="35">
        <v>71.400000000000006</v>
      </c>
      <c r="L48" s="35">
        <v>87.9</v>
      </c>
      <c r="M48" s="11">
        <f t="shared" si="40"/>
        <v>31</v>
      </c>
      <c r="N48" s="11" t="b">
        <f t="shared" si="41"/>
        <v>1</v>
      </c>
      <c r="O48" s="2">
        <f t="shared" si="42"/>
        <v>16.57</v>
      </c>
      <c r="P48" s="11">
        <f t="shared" si="43"/>
        <v>8.1999999999999993</v>
      </c>
      <c r="Q48" s="11">
        <f t="shared" si="44"/>
        <v>17.71</v>
      </c>
      <c r="R48" s="11">
        <f t="shared" si="45"/>
        <v>25</v>
      </c>
      <c r="S48" s="11">
        <f t="shared" si="46"/>
        <v>34.33</v>
      </c>
      <c r="T48" s="11">
        <f t="shared" si="71"/>
        <v>15</v>
      </c>
      <c r="U48" s="2">
        <f t="shared" si="47"/>
        <v>7.82</v>
      </c>
      <c r="V48" s="11">
        <f t="shared" si="72"/>
        <v>6.1</v>
      </c>
      <c r="W48" s="11">
        <f t="shared" si="48"/>
        <v>47.66</v>
      </c>
      <c r="X48" s="11">
        <f t="shared" si="73"/>
        <v>8</v>
      </c>
      <c r="Y48" s="11">
        <f t="shared" si="49"/>
        <v>34.78</v>
      </c>
      <c r="Z48" s="11">
        <f t="shared" si="65"/>
        <v>24</v>
      </c>
      <c r="AA48" s="2">
        <f t="shared" si="50"/>
        <v>20.72</v>
      </c>
      <c r="AB48" s="11">
        <f t="shared" si="66"/>
        <v>2.6</v>
      </c>
      <c r="AC48" s="11">
        <f t="shared" si="51"/>
        <v>36.619999999999997</v>
      </c>
      <c r="AD48" s="11">
        <f t="shared" si="67"/>
        <v>24</v>
      </c>
      <c r="AE48" s="11">
        <f t="shared" si="52"/>
        <v>38.71</v>
      </c>
      <c r="AF48" s="11">
        <f t="shared" si="68"/>
        <v>20</v>
      </c>
      <c r="AG48" s="2">
        <f t="shared" si="53"/>
        <v>17.27</v>
      </c>
      <c r="AH48" s="11">
        <f t="shared" si="69"/>
        <v>4</v>
      </c>
      <c r="AI48" s="11">
        <f t="shared" si="54"/>
        <v>22.86</v>
      </c>
      <c r="AJ48" s="11">
        <f t="shared" si="70"/>
        <v>17</v>
      </c>
      <c r="AK48" s="11">
        <f t="shared" si="55"/>
        <v>28.33</v>
      </c>
      <c r="AL48" s="2">
        <f t="shared" si="56"/>
        <v>15.55</v>
      </c>
      <c r="AM48" s="2">
        <f t="shared" si="57"/>
        <v>47.81</v>
      </c>
      <c r="AN48" s="2">
        <f t="shared" si="58"/>
        <v>35.75</v>
      </c>
    </row>
    <row r="49" spans="1:40" x14ac:dyDescent="0.25">
      <c r="A49" s="13">
        <v>46</v>
      </c>
      <c r="B49" s="2" t="s">
        <v>388</v>
      </c>
      <c r="C49" s="2">
        <f t="shared" si="36"/>
        <v>48</v>
      </c>
      <c r="D49" s="2">
        <v>89</v>
      </c>
      <c r="E49" s="2">
        <f t="shared" si="37"/>
        <v>11.37</v>
      </c>
      <c r="F49" s="2">
        <v>175</v>
      </c>
      <c r="G49" s="2">
        <f t="shared" si="38"/>
        <v>41.04</v>
      </c>
      <c r="H49" s="2" t="b">
        <f t="shared" si="39"/>
        <v>1</v>
      </c>
      <c r="I49" s="35">
        <f>VLOOKUP(B49,Uni_TU_Lkp,6,FALSE)</f>
        <v>49.8</v>
      </c>
      <c r="J49" s="35">
        <f>VLOOKUP(B49,Uni_TU_Lkp,7,FALSE)</f>
        <v>65.099999999999994</v>
      </c>
      <c r="K49" s="35">
        <f>VLOOKUP(B49,Uni_TU_Lkp,8,FALSE)</f>
        <v>79.7</v>
      </c>
      <c r="L49" s="35">
        <f>VLOOKUP(B49,Uni_TU_Lkp,9,FALSE)</f>
        <v>91.2</v>
      </c>
      <c r="M49" s="11">
        <f t="shared" si="40"/>
        <v>83</v>
      </c>
      <c r="N49" s="11" t="b">
        <f t="shared" si="41"/>
        <v>1</v>
      </c>
      <c r="O49" s="2">
        <f t="shared" si="42"/>
        <v>45.3</v>
      </c>
      <c r="P49" s="11">
        <f t="shared" si="43"/>
        <v>4.2</v>
      </c>
      <c r="Q49" s="11">
        <f t="shared" si="44"/>
        <v>9.07</v>
      </c>
      <c r="R49" s="11">
        <f t="shared" si="45"/>
        <v>12</v>
      </c>
      <c r="S49" s="11">
        <f t="shared" si="46"/>
        <v>14.93</v>
      </c>
      <c r="T49" s="11">
        <f t="shared" si="71"/>
        <v>110</v>
      </c>
      <c r="U49" s="2">
        <f t="shared" si="47"/>
        <v>60.89</v>
      </c>
      <c r="V49" s="11">
        <f t="shared" si="72"/>
        <v>1.7</v>
      </c>
      <c r="W49" s="11">
        <f t="shared" si="48"/>
        <v>13.28</v>
      </c>
      <c r="X49" s="11">
        <f t="shared" si="73"/>
        <v>4</v>
      </c>
      <c r="Y49" s="11">
        <f t="shared" si="49"/>
        <v>17.39</v>
      </c>
      <c r="Z49" s="11">
        <f t="shared" si="65"/>
        <v>18</v>
      </c>
      <c r="AA49" s="2">
        <f t="shared" si="50"/>
        <v>15.32</v>
      </c>
      <c r="AB49" s="11">
        <f t="shared" si="66"/>
        <v>2.9</v>
      </c>
      <c r="AC49" s="11">
        <f t="shared" si="51"/>
        <v>40.85</v>
      </c>
      <c r="AD49" s="11">
        <f t="shared" si="67"/>
        <v>19</v>
      </c>
      <c r="AE49" s="11">
        <f t="shared" si="52"/>
        <v>30.65</v>
      </c>
      <c r="AF49" s="11">
        <f t="shared" si="68"/>
        <v>48</v>
      </c>
      <c r="AG49" s="2">
        <f t="shared" si="53"/>
        <v>42.73</v>
      </c>
      <c r="AH49" s="11">
        <f t="shared" si="69"/>
        <v>2.2000000000000002</v>
      </c>
      <c r="AI49" s="11">
        <f t="shared" si="54"/>
        <v>12.57</v>
      </c>
      <c r="AJ49" s="11">
        <f t="shared" si="70"/>
        <v>5</v>
      </c>
      <c r="AK49" s="11">
        <f t="shared" si="55"/>
        <v>8.33</v>
      </c>
      <c r="AL49" s="2">
        <f t="shared" si="56"/>
        <v>43.54</v>
      </c>
      <c r="AM49" s="2">
        <f t="shared" si="57"/>
        <v>46.4</v>
      </c>
      <c r="AN49" s="2">
        <f t="shared" si="58"/>
        <v>36.11</v>
      </c>
    </row>
    <row r="50" spans="1:40" x14ac:dyDescent="0.25">
      <c r="A50" s="13">
        <v>60</v>
      </c>
      <c r="B50" s="2" t="s">
        <v>357</v>
      </c>
      <c r="C50" s="2">
        <f t="shared" si="36"/>
        <v>49</v>
      </c>
      <c r="D50" s="2">
        <v>136</v>
      </c>
      <c r="E50" s="2">
        <f t="shared" si="37"/>
        <v>17.440000000000001</v>
      </c>
      <c r="F50" s="2">
        <v>175</v>
      </c>
      <c r="G50" s="2">
        <f t="shared" si="38"/>
        <v>41.04</v>
      </c>
      <c r="H50" s="2" t="b">
        <f t="shared" si="39"/>
        <v>1</v>
      </c>
      <c r="I50" s="35">
        <v>58.4</v>
      </c>
      <c r="J50" s="35">
        <v>57.5</v>
      </c>
      <c r="K50" s="35">
        <v>71.400000000000006</v>
      </c>
      <c r="L50" s="35">
        <v>88.5</v>
      </c>
      <c r="M50" s="11">
        <f t="shared" si="40"/>
        <v>52</v>
      </c>
      <c r="N50" s="11" t="b">
        <f t="shared" si="41"/>
        <v>1</v>
      </c>
      <c r="O50" s="2">
        <f t="shared" si="42"/>
        <v>28.18</v>
      </c>
      <c r="P50" s="11">
        <f t="shared" si="43"/>
        <v>5.8</v>
      </c>
      <c r="Q50" s="11">
        <f t="shared" si="44"/>
        <v>12.53</v>
      </c>
      <c r="R50" s="11">
        <f t="shared" si="45"/>
        <v>8</v>
      </c>
      <c r="S50" s="11">
        <f t="shared" si="46"/>
        <v>8.9600000000000009</v>
      </c>
      <c r="T50" s="11">
        <f t="shared" si="71"/>
        <v>134</v>
      </c>
      <c r="U50" s="2">
        <f t="shared" si="47"/>
        <v>74.3</v>
      </c>
      <c r="V50" s="11">
        <f t="shared" si="72"/>
        <v>1.3</v>
      </c>
      <c r="W50" s="11">
        <f t="shared" si="48"/>
        <v>10.16</v>
      </c>
      <c r="X50" s="11">
        <f t="shared" si="73"/>
        <v>1</v>
      </c>
      <c r="Y50" s="11">
        <f t="shared" si="49"/>
        <v>4.3499999999999996</v>
      </c>
      <c r="Z50" s="11">
        <f t="shared" si="65"/>
        <v>45</v>
      </c>
      <c r="AA50" s="2">
        <f t="shared" si="50"/>
        <v>39.64</v>
      </c>
      <c r="AB50" s="11">
        <f t="shared" si="66"/>
        <v>1.7</v>
      </c>
      <c r="AC50" s="11">
        <f t="shared" si="51"/>
        <v>23.94</v>
      </c>
      <c r="AD50" s="11">
        <f t="shared" si="67"/>
        <v>12</v>
      </c>
      <c r="AE50" s="11">
        <f t="shared" si="52"/>
        <v>19.350000000000001</v>
      </c>
      <c r="AF50" s="11">
        <f t="shared" si="68"/>
        <v>83</v>
      </c>
      <c r="AG50" s="2">
        <f t="shared" si="53"/>
        <v>74.55</v>
      </c>
      <c r="AH50" s="11">
        <f t="shared" si="69"/>
        <v>1.3</v>
      </c>
      <c r="AI50" s="11">
        <f t="shared" si="54"/>
        <v>7.43</v>
      </c>
      <c r="AJ50" s="11">
        <f t="shared" si="70"/>
        <v>2</v>
      </c>
      <c r="AK50" s="11">
        <f t="shared" si="55"/>
        <v>3.33</v>
      </c>
      <c r="AL50" s="2">
        <f t="shared" si="56"/>
        <v>46.08</v>
      </c>
      <c r="AM50" s="2">
        <f t="shared" si="57"/>
        <v>45.18</v>
      </c>
      <c r="AN50" s="2">
        <f t="shared" si="58"/>
        <v>38.340000000000003</v>
      </c>
    </row>
    <row r="51" spans="1:40" x14ac:dyDescent="0.25">
      <c r="A51" s="13">
        <v>48</v>
      </c>
      <c r="B51" s="2" t="s">
        <v>113</v>
      </c>
      <c r="C51" s="2">
        <f t="shared" si="36"/>
        <v>50</v>
      </c>
      <c r="D51" s="2">
        <v>87</v>
      </c>
      <c r="E51" s="2">
        <f t="shared" si="37"/>
        <v>11.11</v>
      </c>
      <c r="F51" s="2">
        <v>175</v>
      </c>
      <c r="G51" s="2">
        <f t="shared" si="38"/>
        <v>41.04</v>
      </c>
      <c r="H51" s="2" t="b">
        <f t="shared" si="39"/>
        <v>1</v>
      </c>
      <c r="I51" s="35">
        <f>VLOOKUP(B51,Uni_TU_Lkp,6,FALSE)</f>
        <v>57.7</v>
      </c>
      <c r="J51" s="35">
        <f>VLOOKUP(B51,Uni_TU_Lkp,7,FALSE)</f>
        <v>58</v>
      </c>
      <c r="K51" s="35">
        <f>VLOOKUP(B51,Uni_TU_Lkp,8,FALSE)</f>
        <v>73</v>
      </c>
      <c r="L51" s="35">
        <f>VLOOKUP(B51,Uni_TU_Lkp,9,FALSE)</f>
        <v>93.2</v>
      </c>
      <c r="M51" s="11">
        <f t="shared" si="40"/>
        <v>102</v>
      </c>
      <c r="N51" s="11" t="b">
        <f t="shared" si="41"/>
        <v>0</v>
      </c>
      <c r="O51" s="2">
        <f t="shared" si="42"/>
        <v>55.8</v>
      </c>
      <c r="P51" s="11">
        <f t="shared" si="43"/>
        <v>3.3</v>
      </c>
      <c r="Q51" s="11">
        <f t="shared" si="44"/>
        <v>7.13</v>
      </c>
      <c r="R51" s="11">
        <f t="shared" si="45"/>
        <v>10</v>
      </c>
      <c r="S51" s="11">
        <f t="shared" si="46"/>
        <v>11.94</v>
      </c>
      <c r="T51" s="11">
        <f t="shared" si="71"/>
        <v>101</v>
      </c>
      <c r="U51" s="2">
        <f t="shared" si="47"/>
        <v>55.87</v>
      </c>
      <c r="V51" s="11">
        <f t="shared" si="72"/>
        <v>1.8</v>
      </c>
      <c r="W51" s="11">
        <f t="shared" si="48"/>
        <v>14.06</v>
      </c>
      <c r="X51" s="11">
        <f t="shared" si="73"/>
        <v>2</v>
      </c>
      <c r="Y51" s="11">
        <f t="shared" si="49"/>
        <v>8.6999999999999993</v>
      </c>
      <c r="Z51" s="11">
        <f t="shared" si="65"/>
        <v>32</v>
      </c>
      <c r="AA51" s="2">
        <f t="shared" si="50"/>
        <v>27.93</v>
      </c>
      <c r="AB51" s="11">
        <f t="shared" si="66"/>
        <v>2</v>
      </c>
      <c r="AC51" s="11">
        <f t="shared" si="51"/>
        <v>28.17</v>
      </c>
      <c r="AD51" s="11">
        <f t="shared" si="67"/>
        <v>13</v>
      </c>
      <c r="AE51" s="11">
        <f t="shared" si="52"/>
        <v>20.97</v>
      </c>
      <c r="AF51" s="11">
        <f t="shared" si="68"/>
        <v>52</v>
      </c>
      <c r="AG51" s="2">
        <f t="shared" si="53"/>
        <v>46.36</v>
      </c>
      <c r="AH51" s="11">
        <f t="shared" si="69"/>
        <v>2</v>
      </c>
      <c r="AI51" s="11">
        <f t="shared" si="54"/>
        <v>11.43</v>
      </c>
      <c r="AJ51" s="11">
        <f t="shared" si="70"/>
        <v>4</v>
      </c>
      <c r="AK51" s="11">
        <f t="shared" si="55"/>
        <v>6.67</v>
      </c>
      <c r="AL51" s="2">
        <f t="shared" si="56"/>
        <v>50.22</v>
      </c>
      <c r="AM51" s="2">
        <f t="shared" si="57"/>
        <v>45.35</v>
      </c>
      <c r="AN51" s="2">
        <f t="shared" si="58"/>
        <v>38.729999999999997</v>
      </c>
    </row>
    <row r="52" spans="1:40" x14ac:dyDescent="0.25">
      <c r="A52" s="13">
        <v>45</v>
      </c>
      <c r="B52" s="2" t="s">
        <v>21</v>
      </c>
      <c r="C52" s="2">
        <f t="shared" si="36"/>
        <v>51</v>
      </c>
      <c r="D52" s="2">
        <v>52</v>
      </c>
      <c r="E52" s="2">
        <f t="shared" si="37"/>
        <v>6.59</v>
      </c>
      <c r="F52" s="2">
        <v>75</v>
      </c>
      <c r="G52" s="2">
        <f t="shared" si="38"/>
        <v>17.45</v>
      </c>
      <c r="H52" s="2" t="b">
        <f t="shared" si="39"/>
        <v>1</v>
      </c>
      <c r="I52" s="35">
        <f>VLOOKUP(B52,Uni_TU_Lkp,6,FALSE)</f>
        <v>61.6</v>
      </c>
      <c r="J52" s="35">
        <f>VLOOKUP(B52,Uni_TU_Lkp,7,FALSE)</f>
        <v>72.3</v>
      </c>
      <c r="K52" s="35">
        <f>VLOOKUP(B52,Uni_TU_Lkp,8,FALSE)</f>
        <v>82.5</v>
      </c>
      <c r="L52" s="35">
        <f>VLOOKUP(B52,Uni_TU_Lkp,9,FALSE)</f>
        <v>84.8</v>
      </c>
      <c r="M52" s="11">
        <f t="shared" si="40"/>
        <v>102</v>
      </c>
      <c r="N52" s="11" t="b">
        <f t="shared" si="41"/>
        <v>0</v>
      </c>
      <c r="O52" s="2">
        <f t="shared" si="42"/>
        <v>55.8</v>
      </c>
      <c r="P52" s="11">
        <f t="shared" si="43"/>
        <v>3.3</v>
      </c>
      <c r="Q52" s="11">
        <f t="shared" si="44"/>
        <v>7.13</v>
      </c>
      <c r="R52" s="11">
        <f t="shared" si="45"/>
        <v>16</v>
      </c>
      <c r="S52" s="11">
        <f t="shared" si="46"/>
        <v>20.9</v>
      </c>
      <c r="T52" s="11">
        <f t="shared" si="71"/>
        <v>166</v>
      </c>
      <c r="U52" s="2">
        <f t="shared" si="47"/>
        <v>92.18</v>
      </c>
      <c r="V52" s="11">
        <f t="shared" si="72"/>
        <v>1.1000000000000001</v>
      </c>
      <c r="W52" s="11">
        <f t="shared" si="48"/>
        <v>8.59</v>
      </c>
      <c r="X52" s="11">
        <f t="shared" si="73"/>
        <v>1</v>
      </c>
      <c r="Y52" s="11">
        <f t="shared" si="49"/>
        <v>4.3499999999999996</v>
      </c>
      <c r="Z52" s="11">
        <v>112</v>
      </c>
      <c r="AA52" s="2">
        <f t="shared" si="50"/>
        <v>100</v>
      </c>
      <c r="AB52" s="11">
        <v>0</v>
      </c>
      <c r="AC52" s="11">
        <f t="shared" si="51"/>
        <v>0</v>
      </c>
      <c r="AD52" s="11">
        <v>0</v>
      </c>
      <c r="AE52" s="11">
        <f t="shared" si="52"/>
        <v>0</v>
      </c>
      <c r="AF52" s="11">
        <v>111</v>
      </c>
      <c r="AG52" s="2">
        <f t="shared" si="53"/>
        <v>100</v>
      </c>
      <c r="AH52" s="11">
        <v>0</v>
      </c>
      <c r="AI52" s="11">
        <f t="shared" si="54"/>
        <v>0</v>
      </c>
      <c r="AJ52" s="11">
        <v>0</v>
      </c>
      <c r="AK52" s="11">
        <f t="shared" si="55"/>
        <v>0</v>
      </c>
      <c r="AL52" s="2">
        <f t="shared" si="56"/>
        <v>76.34</v>
      </c>
      <c r="AM52" s="2">
        <f t="shared" si="57"/>
        <v>47.39</v>
      </c>
      <c r="AN52" s="2">
        <f t="shared" si="58"/>
        <v>38.83</v>
      </c>
    </row>
    <row r="53" spans="1:40" x14ac:dyDescent="0.25">
      <c r="A53" s="13">
        <v>50</v>
      </c>
      <c r="B53" s="2" t="s">
        <v>225</v>
      </c>
      <c r="C53" s="2">
        <f t="shared" si="36"/>
        <v>52</v>
      </c>
      <c r="D53" s="2">
        <v>212</v>
      </c>
      <c r="E53" s="2">
        <f t="shared" si="37"/>
        <v>27.26</v>
      </c>
      <c r="F53" s="2">
        <v>175</v>
      </c>
      <c r="G53" s="2">
        <f t="shared" si="38"/>
        <v>41.04</v>
      </c>
      <c r="H53" s="2" t="b">
        <f t="shared" si="39"/>
        <v>0</v>
      </c>
      <c r="I53" s="35">
        <f>VLOOKUP(B53,Uni_TU_Lkp,6,FALSE)</f>
        <v>49.5</v>
      </c>
      <c r="J53" s="35">
        <f>VLOOKUP(B53,Uni_TU_Lkp,7,FALSE)</f>
        <v>65.599999999999994</v>
      </c>
      <c r="K53" s="35">
        <f>VLOOKUP(B53,Uni_TU_Lkp,8,FALSE)</f>
        <v>80</v>
      </c>
      <c r="L53" s="35">
        <f>VLOOKUP(B53,Uni_TU_Lkp,9,FALSE)</f>
        <v>88.6</v>
      </c>
      <c r="M53" s="11">
        <f t="shared" si="40"/>
        <v>55</v>
      </c>
      <c r="N53" s="11" t="b">
        <f t="shared" si="41"/>
        <v>1</v>
      </c>
      <c r="O53" s="2">
        <f t="shared" si="42"/>
        <v>29.83</v>
      </c>
      <c r="P53" s="11">
        <f t="shared" si="43"/>
        <v>5.6</v>
      </c>
      <c r="Q53" s="11">
        <f t="shared" si="44"/>
        <v>12.1</v>
      </c>
      <c r="R53" s="11">
        <f t="shared" si="45"/>
        <v>13</v>
      </c>
      <c r="S53" s="11">
        <f t="shared" si="46"/>
        <v>16.420000000000002</v>
      </c>
      <c r="T53" s="11">
        <v>180</v>
      </c>
      <c r="U53" s="2">
        <f t="shared" si="47"/>
        <v>100</v>
      </c>
      <c r="V53" s="11">
        <v>0</v>
      </c>
      <c r="W53" s="11">
        <f t="shared" si="48"/>
        <v>0</v>
      </c>
      <c r="X53" s="11">
        <v>0</v>
      </c>
      <c r="Y53" s="11">
        <f t="shared" si="49"/>
        <v>0</v>
      </c>
      <c r="Z53" s="11">
        <f>VLOOKUP(B53,Systems_Rank,2,FALSE)</f>
        <v>57</v>
      </c>
      <c r="AA53" s="2">
        <f t="shared" si="50"/>
        <v>50.45</v>
      </c>
      <c r="AB53" s="11">
        <f>VLOOKUP(B53,Systems_Rank,3,FALSE)</f>
        <v>1.5</v>
      </c>
      <c r="AC53" s="11">
        <f t="shared" si="51"/>
        <v>21.13</v>
      </c>
      <c r="AD53" s="11">
        <f>VLOOKUP(B53,Systems_Rank,4,FALSE)</f>
        <v>9</v>
      </c>
      <c r="AE53" s="11">
        <f t="shared" si="52"/>
        <v>14.52</v>
      </c>
      <c r="AF53" s="11">
        <f>VLOOKUP(B53,InterD_Rank,2,FALSE)</f>
        <v>20</v>
      </c>
      <c r="AG53" s="2">
        <f t="shared" si="53"/>
        <v>17.27</v>
      </c>
      <c r="AH53" s="11">
        <f>VLOOKUP(B53,InterD_Rank,3,FALSE)</f>
        <v>4</v>
      </c>
      <c r="AI53" s="11">
        <f t="shared" si="54"/>
        <v>22.86</v>
      </c>
      <c r="AJ53" s="11">
        <f>VLOOKUP(B53,InterD_Rank,4,FALSE)</f>
        <v>10</v>
      </c>
      <c r="AK53" s="11">
        <f t="shared" si="55"/>
        <v>16.670000000000002</v>
      </c>
      <c r="AL53" s="2">
        <f t="shared" si="56"/>
        <v>45.07</v>
      </c>
      <c r="AM53" s="2">
        <f t="shared" si="57"/>
        <v>47.51</v>
      </c>
      <c r="AN53" s="2">
        <f t="shared" si="58"/>
        <v>39.9</v>
      </c>
    </row>
    <row r="54" spans="1:40" x14ac:dyDescent="0.25">
      <c r="A54" s="13">
        <v>49</v>
      </c>
      <c r="B54" s="2" t="s">
        <v>377</v>
      </c>
      <c r="C54" s="2">
        <f t="shared" si="36"/>
        <v>53</v>
      </c>
      <c r="D54" s="11">
        <v>156</v>
      </c>
      <c r="E54" s="2">
        <f t="shared" si="37"/>
        <v>20.03</v>
      </c>
      <c r="F54" s="11">
        <v>175</v>
      </c>
      <c r="G54" s="2">
        <f t="shared" si="38"/>
        <v>41.04</v>
      </c>
      <c r="H54" s="2" t="b">
        <f t="shared" si="39"/>
        <v>1</v>
      </c>
      <c r="I54" s="35">
        <f>VLOOKUP(B54,Uni_TU_Lkp,6,FALSE)</f>
        <v>52.2</v>
      </c>
      <c r="J54" s="35">
        <f>VLOOKUP(B54,Uni_TU_Lkp,7,FALSE)</f>
        <v>58.1</v>
      </c>
      <c r="K54" s="35">
        <f>VLOOKUP(B54,Uni_TU_Lkp,8,FALSE)</f>
        <v>81.400000000000006</v>
      </c>
      <c r="L54" s="35">
        <f>VLOOKUP(B54,Uni_TU_Lkp,9,FALSE)</f>
        <v>91.8</v>
      </c>
      <c r="M54" s="11">
        <f t="shared" si="40"/>
        <v>97</v>
      </c>
      <c r="N54" s="11" t="b">
        <f t="shared" si="41"/>
        <v>1</v>
      </c>
      <c r="O54" s="2">
        <f t="shared" si="42"/>
        <v>53.04</v>
      </c>
      <c r="P54" s="11">
        <f t="shared" si="43"/>
        <v>3.5</v>
      </c>
      <c r="Q54" s="11">
        <f t="shared" si="44"/>
        <v>7.56</v>
      </c>
      <c r="R54" s="11">
        <f t="shared" si="45"/>
        <v>15</v>
      </c>
      <c r="S54" s="11">
        <f t="shared" si="46"/>
        <v>19.399999999999999</v>
      </c>
      <c r="T54" s="11">
        <f>VLOOKUP(B54,Theory_Rank,2,FALSE)</f>
        <v>166</v>
      </c>
      <c r="U54" s="2">
        <f t="shared" si="47"/>
        <v>92.18</v>
      </c>
      <c r="V54" s="11">
        <f>VLOOKUP(B54,Theory_Rank,3,FALSE)</f>
        <v>1.1000000000000001</v>
      </c>
      <c r="W54" s="11">
        <f t="shared" si="48"/>
        <v>8.59</v>
      </c>
      <c r="X54" s="11">
        <f>VLOOKUP(B54,Theory_Rank,4,FALSE)</f>
        <v>1</v>
      </c>
      <c r="Y54" s="11">
        <f t="shared" si="49"/>
        <v>4.3499999999999996</v>
      </c>
      <c r="Z54" s="11">
        <f>VLOOKUP(B54,Systems_Rank,2,FALSE)</f>
        <v>35</v>
      </c>
      <c r="AA54" s="2">
        <f t="shared" si="50"/>
        <v>30.63</v>
      </c>
      <c r="AB54" s="11">
        <f>VLOOKUP(B54,Systems_Rank,3,FALSE)</f>
        <v>1.9</v>
      </c>
      <c r="AC54" s="11">
        <f t="shared" si="51"/>
        <v>26.76</v>
      </c>
      <c r="AD54" s="11">
        <f>VLOOKUP(B54,Systems_Rank,4,FALSE)</f>
        <v>15</v>
      </c>
      <c r="AE54" s="11">
        <f t="shared" si="52"/>
        <v>24.19</v>
      </c>
      <c r="AF54" s="11">
        <f>VLOOKUP(B54,InterD_Rank,2,FALSE)</f>
        <v>8</v>
      </c>
      <c r="AG54" s="2">
        <f t="shared" si="53"/>
        <v>6.36</v>
      </c>
      <c r="AH54" s="11">
        <f>VLOOKUP(B54,InterD_Rank,3,FALSE)</f>
        <v>8.3000000000000007</v>
      </c>
      <c r="AI54" s="11">
        <f t="shared" si="54"/>
        <v>47.43</v>
      </c>
      <c r="AJ54" s="11">
        <f>VLOOKUP(B54,InterD_Rank,4,FALSE)</f>
        <v>16</v>
      </c>
      <c r="AK54" s="11">
        <f t="shared" si="55"/>
        <v>26.67</v>
      </c>
      <c r="AL54" s="2">
        <f t="shared" si="56"/>
        <v>50.5</v>
      </c>
      <c r="AM54" s="2">
        <f t="shared" si="57"/>
        <v>49.78</v>
      </c>
      <c r="AN54" s="2">
        <f t="shared" si="58"/>
        <v>40.619999999999997</v>
      </c>
    </row>
    <row r="55" spans="1:40" x14ac:dyDescent="0.25">
      <c r="A55" s="13">
        <v>65</v>
      </c>
      <c r="B55" s="2" t="s">
        <v>383</v>
      </c>
      <c r="C55" s="2">
        <f t="shared" si="36"/>
        <v>54</v>
      </c>
      <c r="D55" s="2">
        <v>190</v>
      </c>
      <c r="E55" s="2">
        <f t="shared" si="37"/>
        <v>24.42</v>
      </c>
      <c r="F55" s="2">
        <v>225</v>
      </c>
      <c r="G55" s="2">
        <f t="shared" si="38"/>
        <v>52.83</v>
      </c>
      <c r="H55" s="2" t="b">
        <f t="shared" si="39"/>
        <v>1</v>
      </c>
      <c r="I55" s="2">
        <v>50.8</v>
      </c>
      <c r="J55" s="2">
        <v>59.4</v>
      </c>
      <c r="K55" s="2">
        <v>71.400000000000006</v>
      </c>
      <c r="L55" s="2">
        <v>87.7</v>
      </c>
      <c r="M55" s="11">
        <f t="shared" si="40"/>
        <v>80</v>
      </c>
      <c r="N55" s="11" t="b">
        <f t="shared" si="41"/>
        <v>1</v>
      </c>
      <c r="O55" s="2">
        <f t="shared" si="42"/>
        <v>43.65</v>
      </c>
      <c r="P55" s="11">
        <f t="shared" si="43"/>
        <v>4.3</v>
      </c>
      <c r="Q55" s="11">
        <f t="shared" si="44"/>
        <v>9.2899999999999991</v>
      </c>
      <c r="R55" s="11">
        <f t="shared" si="45"/>
        <v>18</v>
      </c>
      <c r="S55" s="11">
        <f t="shared" si="46"/>
        <v>23.88</v>
      </c>
      <c r="T55" s="11">
        <f>VLOOKUP(B55,Theory_Rank,2,FALSE)</f>
        <v>84</v>
      </c>
      <c r="U55" s="2">
        <f t="shared" si="47"/>
        <v>46.37</v>
      </c>
      <c r="V55" s="11">
        <f>VLOOKUP(B55,Theory_Rank,3,FALSE)</f>
        <v>2.1</v>
      </c>
      <c r="W55" s="11">
        <f t="shared" si="48"/>
        <v>16.41</v>
      </c>
      <c r="X55" s="11">
        <f>VLOOKUP(B55,Theory_Rank,4,FALSE)</f>
        <v>6</v>
      </c>
      <c r="Y55" s="11">
        <f t="shared" si="49"/>
        <v>26.09</v>
      </c>
      <c r="Z55" s="11">
        <f>VLOOKUP(B55,Systems_Rank,2,FALSE)</f>
        <v>39</v>
      </c>
      <c r="AA55" s="2">
        <f t="shared" si="50"/>
        <v>34.229999999999997</v>
      </c>
      <c r="AB55" s="11">
        <f>VLOOKUP(B55,Systems_Rank,3,FALSE)</f>
        <v>1.8</v>
      </c>
      <c r="AC55" s="11">
        <f t="shared" si="51"/>
        <v>25.35</v>
      </c>
      <c r="AD55" s="11">
        <f>VLOOKUP(B55,Systems_Rank,4,FALSE)</f>
        <v>15</v>
      </c>
      <c r="AE55" s="11">
        <f t="shared" si="52"/>
        <v>24.19</v>
      </c>
      <c r="AF55" s="11">
        <f>VLOOKUP(B55,InterD_Rank,2,FALSE)</f>
        <v>11</v>
      </c>
      <c r="AG55" s="2">
        <f t="shared" si="53"/>
        <v>9.09</v>
      </c>
      <c r="AH55" s="11">
        <f>VLOOKUP(B55,InterD_Rank,3,FALSE)</f>
        <v>7.5</v>
      </c>
      <c r="AI55" s="11">
        <f t="shared" si="54"/>
        <v>42.86</v>
      </c>
      <c r="AJ55" s="11">
        <f>VLOOKUP(B55,InterD_Rank,4,FALSE)</f>
        <v>25</v>
      </c>
      <c r="AK55" s="11">
        <f t="shared" si="55"/>
        <v>41.67</v>
      </c>
      <c r="AL55" s="2">
        <f t="shared" si="56"/>
        <v>37.6</v>
      </c>
      <c r="AM55" s="2">
        <f t="shared" si="57"/>
        <v>46.45</v>
      </c>
      <c r="AN55" s="2">
        <f t="shared" si="58"/>
        <v>41.06</v>
      </c>
    </row>
    <row r="56" spans="1:40" x14ac:dyDescent="0.25">
      <c r="A56" s="13">
        <v>51</v>
      </c>
      <c r="B56" s="2" t="s">
        <v>20</v>
      </c>
      <c r="C56" s="2">
        <f t="shared" si="36"/>
        <v>55</v>
      </c>
      <c r="D56" s="2">
        <v>203</v>
      </c>
      <c r="E56" s="2">
        <f t="shared" si="37"/>
        <v>26.1</v>
      </c>
      <c r="F56" s="2">
        <v>175</v>
      </c>
      <c r="G56" s="2">
        <f t="shared" si="38"/>
        <v>41.04</v>
      </c>
      <c r="H56" s="2" t="b">
        <f t="shared" si="39"/>
        <v>0</v>
      </c>
      <c r="I56" s="35">
        <f>VLOOKUP(B56,Uni_TU_Lkp,6,FALSE)</f>
        <v>50.2</v>
      </c>
      <c r="J56" s="35">
        <f>VLOOKUP(B56,Uni_TU_Lkp,7,FALSE)</f>
        <v>65.5</v>
      </c>
      <c r="K56" s="35">
        <f>VLOOKUP(B56,Uni_TU_Lkp,8,FALSE)</f>
        <v>79.400000000000006</v>
      </c>
      <c r="L56" s="35">
        <f>VLOOKUP(B56,Uni_TU_Lkp,9,FALSE)</f>
        <v>85.7</v>
      </c>
      <c r="M56" s="11">
        <f t="shared" si="40"/>
        <v>91</v>
      </c>
      <c r="N56" s="11" t="b">
        <f t="shared" si="41"/>
        <v>1</v>
      </c>
      <c r="O56" s="2">
        <f t="shared" si="42"/>
        <v>49.72</v>
      </c>
      <c r="P56" s="11">
        <f t="shared" si="43"/>
        <v>3.9</v>
      </c>
      <c r="Q56" s="11">
        <f t="shared" si="44"/>
        <v>8.42</v>
      </c>
      <c r="R56" s="11">
        <f t="shared" si="45"/>
        <v>12</v>
      </c>
      <c r="S56" s="11">
        <f t="shared" si="46"/>
        <v>14.93</v>
      </c>
      <c r="T56" s="11">
        <v>180</v>
      </c>
      <c r="U56" s="2">
        <f t="shared" si="47"/>
        <v>100</v>
      </c>
      <c r="V56" s="11">
        <v>0</v>
      </c>
      <c r="W56" s="11">
        <f t="shared" si="48"/>
        <v>0</v>
      </c>
      <c r="X56" s="11">
        <v>0</v>
      </c>
      <c r="Y56" s="11">
        <f t="shared" si="49"/>
        <v>0</v>
      </c>
      <c r="Z56" s="11">
        <f>VLOOKUP(B56,Systems_Rank,2,FALSE)</f>
        <v>29</v>
      </c>
      <c r="AA56" s="2">
        <f t="shared" si="50"/>
        <v>25.23</v>
      </c>
      <c r="AB56" s="11">
        <f>VLOOKUP(B56,Systems_Rank,3,FALSE)</f>
        <v>2.2000000000000002</v>
      </c>
      <c r="AC56" s="11">
        <f t="shared" si="51"/>
        <v>30.99</v>
      </c>
      <c r="AD56" s="11">
        <f>VLOOKUP(B56,Systems_Rank,4,FALSE)</f>
        <v>11</v>
      </c>
      <c r="AE56" s="11">
        <f t="shared" si="52"/>
        <v>17.739999999999998</v>
      </c>
      <c r="AF56" s="11">
        <f>VLOOKUP(B56,InterD_Rank,2,FALSE)</f>
        <v>13</v>
      </c>
      <c r="AG56" s="2">
        <f t="shared" si="53"/>
        <v>10.91</v>
      </c>
      <c r="AH56" s="11">
        <f>VLOOKUP(B56,InterD_Rank,3,FALSE)</f>
        <v>6.1</v>
      </c>
      <c r="AI56" s="11">
        <f t="shared" si="54"/>
        <v>34.86</v>
      </c>
      <c r="AJ56" s="11">
        <f>VLOOKUP(B56,InterD_Rank,4,FALSE)</f>
        <v>11</v>
      </c>
      <c r="AK56" s="11">
        <f t="shared" si="55"/>
        <v>18.329999999999998</v>
      </c>
      <c r="AL56" s="2">
        <f t="shared" si="56"/>
        <v>50.28</v>
      </c>
      <c r="AM56" s="2">
        <f t="shared" si="57"/>
        <v>46.93</v>
      </c>
      <c r="AN56" s="2">
        <f t="shared" si="58"/>
        <v>41.75</v>
      </c>
    </row>
    <row r="57" spans="1:40" x14ac:dyDescent="0.25">
      <c r="A57" s="13">
        <v>52</v>
      </c>
      <c r="B57" s="2" t="s">
        <v>112</v>
      </c>
      <c r="C57" s="2">
        <f t="shared" si="36"/>
        <v>56</v>
      </c>
      <c r="D57" s="2">
        <v>141</v>
      </c>
      <c r="E57" s="2">
        <f t="shared" si="37"/>
        <v>18.09</v>
      </c>
      <c r="F57" s="2">
        <v>175</v>
      </c>
      <c r="G57" s="2">
        <f t="shared" si="38"/>
        <v>41.04</v>
      </c>
      <c r="H57" s="2" t="b">
        <f t="shared" si="39"/>
        <v>1</v>
      </c>
      <c r="I57" s="35">
        <f>VLOOKUP(B57,Uni_TU_Lkp,6,FALSE)</f>
        <v>53.3</v>
      </c>
      <c r="J57" s="35">
        <f>VLOOKUP(B57,Uni_TU_Lkp,7,FALSE)</f>
        <v>65.5</v>
      </c>
      <c r="K57" s="35">
        <f>VLOOKUP(B57,Uni_TU_Lkp,8,FALSE)</f>
        <v>73.400000000000006</v>
      </c>
      <c r="L57" s="35">
        <f>VLOOKUP(B57,Uni_TU_Lkp,9,FALSE)</f>
        <v>90.9</v>
      </c>
      <c r="M57" s="11">
        <f t="shared" si="40"/>
        <v>83</v>
      </c>
      <c r="N57" s="11" t="b">
        <f t="shared" si="41"/>
        <v>1</v>
      </c>
      <c r="O57" s="2">
        <f t="shared" si="42"/>
        <v>45.3</v>
      </c>
      <c r="P57" s="11">
        <f t="shared" si="43"/>
        <v>4.2</v>
      </c>
      <c r="Q57" s="11">
        <f t="shared" si="44"/>
        <v>9.07</v>
      </c>
      <c r="R57" s="11">
        <f t="shared" si="45"/>
        <v>8</v>
      </c>
      <c r="S57" s="11">
        <f t="shared" si="46"/>
        <v>8.9600000000000009</v>
      </c>
      <c r="T57" s="11">
        <f>VLOOKUP(B57,Theory_Rank,2,FALSE)</f>
        <v>148</v>
      </c>
      <c r="U57" s="2">
        <f t="shared" si="47"/>
        <v>82.12</v>
      </c>
      <c r="V57" s="11">
        <f>VLOOKUP(B57,Theory_Rank,3,FALSE)</f>
        <v>1.2</v>
      </c>
      <c r="W57" s="11">
        <f t="shared" si="48"/>
        <v>9.3800000000000008</v>
      </c>
      <c r="X57" s="11">
        <f>VLOOKUP(B57,Theory_Rank,4,FALSE)</f>
        <v>2</v>
      </c>
      <c r="Y57" s="11">
        <f t="shared" si="49"/>
        <v>8.6999999999999993</v>
      </c>
      <c r="Z57" s="11">
        <f>VLOOKUP(B57,Systems_Rank,2,FALSE)</f>
        <v>96</v>
      </c>
      <c r="AA57" s="2">
        <f t="shared" si="50"/>
        <v>85.59</v>
      </c>
      <c r="AB57" s="11">
        <f>VLOOKUP(B57,Systems_Rank,3,FALSE)</f>
        <v>1.1000000000000001</v>
      </c>
      <c r="AC57" s="11">
        <f t="shared" si="51"/>
        <v>15.49</v>
      </c>
      <c r="AD57" s="11">
        <f>VLOOKUP(B57,Systems_Rank,4,FALSE)</f>
        <v>3</v>
      </c>
      <c r="AE57" s="11">
        <f t="shared" si="52"/>
        <v>4.84</v>
      </c>
      <c r="AF57" s="11">
        <f>VLOOKUP(B57,InterD_Rank,2,FALSE)</f>
        <v>58</v>
      </c>
      <c r="AG57" s="2">
        <f t="shared" si="53"/>
        <v>51.82</v>
      </c>
      <c r="AH57" s="11">
        <f>VLOOKUP(B57,InterD_Rank,3,FALSE)</f>
        <v>1.9</v>
      </c>
      <c r="AI57" s="11">
        <f t="shared" si="54"/>
        <v>10.86</v>
      </c>
      <c r="AJ57" s="11">
        <f>VLOOKUP(B57,InterD_Rank,4,FALSE)</f>
        <v>6</v>
      </c>
      <c r="AK57" s="11">
        <f t="shared" si="55"/>
        <v>10</v>
      </c>
      <c r="AL57" s="2">
        <f t="shared" si="56"/>
        <v>59.69</v>
      </c>
      <c r="AM57" s="2">
        <f t="shared" si="57"/>
        <v>44.58</v>
      </c>
      <c r="AN57" s="2">
        <f t="shared" si="58"/>
        <v>43.91</v>
      </c>
    </row>
    <row r="58" spans="1:40" x14ac:dyDescent="0.25">
      <c r="A58" s="13">
        <v>53</v>
      </c>
      <c r="B58" s="2" t="s">
        <v>52</v>
      </c>
      <c r="C58" s="2">
        <f t="shared" si="36"/>
        <v>57</v>
      </c>
      <c r="D58" s="2">
        <v>35</v>
      </c>
      <c r="E58" s="2">
        <f t="shared" si="37"/>
        <v>4.3899999999999997</v>
      </c>
      <c r="F58" s="2">
        <v>75</v>
      </c>
      <c r="G58" s="2">
        <f t="shared" si="38"/>
        <v>17.45</v>
      </c>
      <c r="H58" s="2" t="b">
        <f t="shared" si="39"/>
        <v>1</v>
      </c>
      <c r="I58" s="35">
        <f>VLOOKUP(B58,Uni_TU_Lkp,6,FALSE)</f>
        <v>64</v>
      </c>
      <c r="J58" s="35">
        <f>VLOOKUP(B58,Uni_TU_Lkp,7,FALSE)</f>
        <v>80.7</v>
      </c>
      <c r="K58" s="35">
        <f>VLOOKUP(B58,Uni_TU_Lkp,8,FALSE)</f>
        <v>64.599999999999994</v>
      </c>
      <c r="L58" s="35">
        <f>VLOOKUP(B58,Uni_TU_Lkp,9,FALSE)</f>
        <v>74.7</v>
      </c>
      <c r="M58" s="11">
        <v>182</v>
      </c>
      <c r="N58" s="11" t="b">
        <f t="shared" si="41"/>
        <v>0</v>
      </c>
      <c r="O58" s="2">
        <f t="shared" si="42"/>
        <v>100</v>
      </c>
      <c r="P58" s="11">
        <v>0</v>
      </c>
      <c r="Q58" s="11">
        <f t="shared" si="44"/>
        <v>0</v>
      </c>
      <c r="R58" s="11">
        <v>2</v>
      </c>
      <c r="S58" s="11">
        <f t="shared" si="46"/>
        <v>0</v>
      </c>
      <c r="T58" s="11">
        <v>180</v>
      </c>
      <c r="U58" s="2">
        <f t="shared" si="47"/>
        <v>100</v>
      </c>
      <c r="V58" s="11">
        <v>0</v>
      </c>
      <c r="W58" s="11">
        <f t="shared" si="48"/>
        <v>0</v>
      </c>
      <c r="X58" s="11">
        <v>0</v>
      </c>
      <c r="Y58" s="11">
        <f t="shared" si="49"/>
        <v>0</v>
      </c>
      <c r="Z58" s="11">
        <v>112</v>
      </c>
      <c r="AA58" s="2">
        <f t="shared" si="50"/>
        <v>100</v>
      </c>
      <c r="AB58" s="11">
        <v>0</v>
      </c>
      <c r="AC58" s="11">
        <f t="shared" si="51"/>
        <v>0</v>
      </c>
      <c r="AD58" s="11">
        <v>0</v>
      </c>
      <c r="AE58" s="11">
        <f t="shared" si="52"/>
        <v>0</v>
      </c>
      <c r="AF58" s="11">
        <v>111</v>
      </c>
      <c r="AG58" s="2">
        <f t="shared" si="53"/>
        <v>100</v>
      </c>
      <c r="AH58" s="11">
        <v>0</v>
      </c>
      <c r="AI58" s="11">
        <f t="shared" si="54"/>
        <v>0</v>
      </c>
      <c r="AJ58" s="11">
        <v>0</v>
      </c>
      <c r="AK58" s="11">
        <f t="shared" si="55"/>
        <v>0</v>
      </c>
      <c r="AL58" s="2">
        <f t="shared" si="56"/>
        <v>100</v>
      </c>
      <c r="AM58" s="2">
        <f t="shared" si="57"/>
        <v>38.880000000000003</v>
      </c>
      <c r="AN58" s="2">
        <f t="shared" si="58"/>
        <v>47.86</v>
      </c>
    </row>
    <row r="59" spans="1:40" x14ac:dyDescent="0.25">
      <c r="A59" s="13">
        <v>54</v>
      </c>
      <c r="B59" s="2" t="s">
        <v>51</v>
      </c>
      <c r="C59" s="2">
        <f t="shared" si="36"/>
        <v>58</v>
      </c>
      <c r="D59" s="2">
        <v>58</v>
      </c>
      <c r="E59" s="2">
        <f t="shared" si="37"/>
        <v>7.36</v>
      </c>
      <c r="F59" s="2">
        <v>75</v>
      </c>
      <c r="G59" s="2">
        <f t="shared" si="38"/>
        <v>17.45</v>
      </c>
      <c r="H59" s="2" t="b">
        <f t="shared" si="39"/>
        <v>1</v>
      </c>
      <c r="I59" s="35">
        <f>VLOOKUP(B59,Uni_TU_Lkp,6,FALSE)</f>
        <v>63.3</v>
      </c>
      <c r="J59" s="35">
        <f>VLOOKUP(B59,Uni_TU_Lkp,7,FALSE)</f>
        <v>78.7</v>
      </c>
      <c r="K59" s="35">
        <f>VLOOKUP(B59,Uni_TU_Lkp,8,FALSE)</f>
        <v>64.099999999999994</v>
      </c>
      <c r="L59" s="35">
        <f>VLOOKUP(B59,Uni_TU_Lkp,9,FALSE)</f>
        <v>74.400000000000006</v>
      </c>
      <c r="M59" s="11">
        <v>182</v>
      </c>
      <c r="N59" s="11" t="b">
        <f t="shared" si="41"/>
        <v>0</v>
      </c>
      <c r="O59" s="2">
        <f t="shared" si="42"/>
        <v>100</v>
      </c>
      <c r="P59" s="11">
        <v>0</v>
      </c>
      <c r="Q59" s="11">
        <f t="shared" si="44"/>
        <v>0</v>
      </c>
      <c r="R59" s="11">
        <v>2</v>
      </c>
      <c r="S59" s="11">
        <f t="shared" si="46"/>
        <v>0</v>
      </c>
      <c r="T59" s="11">
        <v>180</v>
      </c>
      <c r="U59" s="2">
        <f t="shared" si="47"/>
        <v>100</v>
      </c>
      <c r="V59" s="11">
        <v>0</v>
      </c>
      <c r="W59" s="11">
        <f t="shared" si="48"/>
        <v>0</v>
      </c>
      <c r="X59" s="11">
        <v>0</v>
      </c>
      <c r="Y59" s="11">
        <f t="shared" si="49"/>
        <v>0</v>
      </c>
      <c r="Z59" s="11">
        <v>112</v>
      </c>
      <c r="AA59" s="2">
        <f t="shared" si="50"/>
        <v>100</v>
      </c>
      <c r="AB59" s="11">
        <v>0</v>
      </c>
      <c r="AC59" s="11">
        <f t="shared" si="51"/>
        <v>0</v>
      </c>
      <c r="AD59" s="11">
        <v>0</v>
      </c>
      <c r="AE59" s="11">
        <f t="shared" si="52"/>
        <v>0</v>
      </c>
      <c r="AF59" s="11">
        <v>111</v>
      </c>
      <c r="AG59" s="2">
        <f t="shared" si="53"/>
        <v>100</v>
      </c>
      <c r="AH59" s="11">
        <v>0</v>
      </c>
      <c r="AI59" s="11">
        <f t="shared" si="54"/>
        <v>0</v>
      </c>
      <c r="AJ59" s="11">
        <v>0</v>
      </c>
      <c r="AK59" s="11">
        <f t="shared" si="55"/>
        <v>0</v>
      </c>
      <c r="AL59" s="2">
        <f t="shared" si="56"/>
        <v>100</v>
      </c>
      <c r="AM59" s="2">
        <f t="shared" si="57"/>
        <v>38.630000000000003</v>
      </c>
      <c r="AN59" s="2">
        <f t="shared" si="58"/>
        <v>48.45</v>
      </c>
    </row>
    <row r="60" spans="1:40" x14ac:dyDescent="0.25">
      <c r="A60" s="13">
        <v>64</v>
      </c>
      <c r="B60" s="2" t="s">
        <v>431</v>
      </c>
      <c r="C60" s="2">
        <f t="shared" si="36"/>
        <v>59</v>
      </c>
      <c r="D60" s="2">
        <v>100</v>
      </c>
      <c r="E60" s="2">
        <f t="shared" si="37"/>
        <v>12.79</v>
      </c>
      <c r="F60" s="2">
        <v>275</v>
      </c>
      <c r="G60" s="2">
        <f t="shared" si="38"/>
        <v>64.62</v>
      </c>
      <c r="H60" s="2" t="b">
        <f t="shared" si="39"/>
        <v>1</v>
      </c>
      <c r="I60" s="35">
        <v>50.7</v>
      </c>
      <c r="J60" s="35">
        <v>54</v>
      </c>
      <c r="K60" s="35">
        <v>68</v>
      </c>
      <c r="L60" s="35">
        <v>85.6</v>
      </c>
      <c r="M60" s="11">
        <f t="shared" ref="M60:M68" si="74">VLOOKUP(B60,AI_Rank,2,FALSE)</f>
        <v>96</v>
      </c>
      <c r="N60" s="11" t="b">
        <f t="shared" si="41"/>
        <v>1</v>
      </c>
      <c r="O60" s="2">
        <f t="shared" si="42"/>
        <v>52.49</v>
      </c>
      <c r="P60" s="11">
        <f t="shared" ref="P60:P68" si="75">VLOOKUP(B60,AI_Rank,3,FALSE)</f>
        <v>3.7</v>
      </c>
      <c r="Q60" s="11">
        <f t="shared" si="44"/>
        <v>7.99</v>
      </c>
      <c r="R60" s="11">
        <f t="shared" ref="R60:R68" si="76">VLOOKUP(B60,AI_Rank,4,FALSE)</f>
        <v>12</v>
      </c>
      <c r="S60" s="11">
        <f t="shared" si="46"/>
        <v>14.93</v>
      </c>
      <c r="T60" s="11">
        <f t="shared" ref="T60:T68" si="77">VLOOKUP(B60,Theory_Rank,2,FALSE)</f>
        <v>148</v>
      </c>
      <c r="U60" s="2">
        <f t="shared" si="47"/>
        <v>82.12</v>
      </c>
      <c r="V60" s="11">
        <f t="shared" ref="V60:V68" si="78">VLOOKUP(B60,Theory_Rank,3,FALSE)</f>
        <v>1.2</v>
      </c>
      <c r="W60" s="11">
        <f t="shared" si="48"/>
        <v>9.3800000000000008</v>
      </c>
      <c r="X60" s="11">
        <f t="shared" ref="X60:X68" si="79">VLOOKUP(B60,Theory_Rank,4,FALSE)</f>
        <v>2</v>
      </c>
      <c r="Y60" s="11">
        <f t="shared" si="49"/>
        <v>8.6999999999999993</v>
      </c>
      <c r="Z60" s="11">
        <f t="shared" ref="Z60:Z68" si="80">VLOOKUP(B60,Systems_Rank,2,FALSE)</f>
        <v>64</v>
      </c>
      <c r="AA60" s="2">
        <f t="shared" si="50"/>
        <v>56.76</v>
      </c>
      <c r="AB60" s="11">
        <f t="shared" ref="AB60:AB68" si="81">VLOOKUP(B60,Systems_Rank,3,FALSE)</f>
        <v>1.3</v>
      </c>
      <c r="AC60" s="11">
        <f t="shared" si="51"/>
        <v>18.309999999999999</v>
      </c>
      <c r="AD60" s="11">
        <f t="shared" ref="AD60:AD68" si="82">VLOOKUP(B60,Systems_Rank,4,FALSE)</f>
        <v>7</v>
      </c>
      <c r="AE60" s="11">
        <f t="shared" si="52"/>
        <v>11.29</v>
      </c>
      <c r="AF60" s="11">
        <f t="shared" ref="AF60:AF68" si="83">VLOOKUP(B60,InterD_Rank,2,FALSE)</f>
        <v>45</v>
      </c>
      <c r="AG60" s="2">
        <f t="shared" si="53"/>
        <v>40</v>
      </c>
      <c r="AH60" s="11">
        <f t="shared" ref="AH60:AH68" si="84">VLOOKUP(B60,InterD_Rank,3,FALSE)</f>
        <v>2.2999999999999998</v>
      </c>
      <c r="AI60" s="11">
        <f t="shared" si="54"/>
        <v>13.14</v>
      </c>
      <c r="AJ60" s="11">
        <f t="shared" ref="AJ60:AJ68" si="85">VLOOKUP(B60,InterD_Rank,4,FALSE)</f>
        <v>6</v>
      </c>
      <c r="AK60" s="11">
        <f t="shared" si="55"/>
        <v>10</v>
      </c>
      <c r="AL60" s="2">
        <f t="shared" si="56"/>
        <v>57.18</v>
      </c>
      <c r="AM60" s="2">
        <f t="shared" si="57"/>
        <v>43.38</v>
      </c>
      <c r="AN60" s="2">
        <f t="shared" si="58"/>
        <v>51.28</v>
      </c>
    </row>
    <row r="61" spans="1:40" x14ac:dyDescent="0.25">
      <c r="A61" s="13">
        <v>55</v>
      </c>
      <c r="B61" s="2" t="s">
        <v>399</v>
      </c>
      <c r="C61" s="2">
        <f t="shared" si="36"/>
        <v>60</v>
      </c>
      <c r="D61" s="2">
        <v>279</v>
      </c>
      <c r="E61" s="2">
        <f t="shared" si="37"/>
        <v>35.92</v>
      </c>
      <c r="F61" s="2">
        <v>175</v>
      </c>
      <c r="G61" s="2">
        <f t="shared" si="38"/>
        <v>41.04</v>
      </c>
      <c r="H61" s="2" t="b">
        <f t="shared" si="39"/>
        <v>0</v>
      </c>
      <c r="I61" s="35">
        <f>VLOOKUP(B61,Uni_TU_Lkp,6,FALSE)</f>
        <v>50.7</v>
      </c>
      <c r="J61" s="35">
        <f>VLOOKUP(B61,Uni_TU_Lkp,7,FALSE)</f>
        <v>58.6</v>
      </c>
      <c r="K61" s="35">
        <f>VLOOKUP(B61,Uni_TU_Lkp,8,FALSE)</f>
        <v>81.400000000000006</v>
      </c>
      <c r="L61" s="35">
        <f>VLOOKUP(B61,Uni_TU_Lkp,9,FALSE)</f>
        <v>92.8</v>
      </c>
      <c r="M61" s="11">
        <f t="shared" si="74"/>
        <v>172</v>
      </c>
      <c r="N61" s="11" t="b">
        <f t="shared" si="41"/>
        <v>0</v>
      </c>
      <c r="O61" s="2">
        <f t="shared" si="42"/>
        <v>94.48</v>
      </c>
      <c r="P61" s="11">
        <f t="shared" si="75"/>
        <v>1.8</v>
      </c>
      <c r="Q61" s="11">
        <f t="shared" si="44"/>
        <v>3.89</v>
      </c>
      <c r="R61" s="11">
        <f t="shared" si="76"/>
        <v>10</v>
      </c>
      <c r="S61" s="11">
        <f t="shared" si="46"/>
        <v>11.94</v>
      </c>
      <c r="T61" s="11">
        <f t="shared" si="77"/>
        <v>110</v>
      </c>
      <c r="U61" s="2">
        <f t="shared" si="47"/>
        <v>60.89</v>
      </c>
      <c r="V61" s="11">
        <f t="shared" si="78"/>
        <v>1.7</v>
      </c>
      <c r="W61" s="11">
        <f t="shared" si="48"/>
        <v>13.28</v>
      </c>
      <c r="X61" s="11">
        <f t="shared" si="79"/>
        <v>2</v>
      </c>
      <c r="Y61" s="11">
        <f t="shared" si="49"/>
        <v>8.6999999999999993</v>
      </c>
      <c r="Z61" s="11">
        <f t="shared" si="80"/>
        <v>25</v>
      </c>
      <c r="AA61" s="2">
        <f t="shared" si="50"/>
        <v>21.62</v>
      </c>
      <c r="AB61" s="11">
        <f t="shared" si="81"/>
        <v>2.5</v>
      </c>
      <c r="AC61" s="11">
        <f t="shared" si="51"/>
        <v>35.21</v>
      </c>
      <c r="AD61" s="11">
        <f t="shared" si="82"/>
        <v>17</v>
      </c>
      <c r="AE61" s="11">
        <f t="shared" si="52"/>
        <v>27.42</v>
      </c>
      <c r="AF61" s="11">
        <f t="shared" si="83"/>
        <v>65</v>
      </c>
      <c r="AG61" s="2">
        <f t="shared" si="53"/>
        <v>58.18</v>
      </c>
      <c r="AH61" s="11">
        <f t="shared" si="84"/>
        <v>1.7</v>
      </c>
      <c r="AI61" s="11">
        <f t="shared" si="54"/>
        <v>9.7100000000000009</v>
      </c>
      <c r="AJ61" s="11">
        <f t="shared" si="85"/>
        <v>6</v>
      </c>
      <c r="AK61" s="11">
        <f t="shared" si="55"/>
        <v>10</v>
      </c>
      <c r="AL61" s="2">
        <f t="shared" si="56"/>
        <v>71.39</v>
      </c>
      <c r="AM61" s="2">
        <f t="shared" si="57"/>
        <v>45.62</v>
      </c>
      <c r="AN61" s="2">
        <f t="shared" si="58"/>
        <v>52.16</v>
      </c>
    </row>
    <row r="62" spans="1:40" x14ac:dyDescent="0.25">
      <c r="A62" s="13">
        <v>62</v>
      </c>
      <c r="B62" s="2" t="s">
        <v>384</v>
      </c>
      <c r="C62" s="2">
        <f t="shared" si="36"/>
        <v>61</v>
      </c>
      <c r="D62" s="2">
        <v>345</v>
      </c>
      <c r="E62" s="2">
        <f t="shared" si="37"/>
        <v>44.44</v>
      </c>
      <c r="F62" s="2">
        <v>325</v>
      </c>
      <c r="G62" s="2">
        <f t="shared" si="38"/>
        <v>76.42</v>
      </c>
      <c r="H62" s="2" t="b">
        <f t="shared" si="39"/>
        <v>0</v>
      </c>
      <c r="I62" s="35">
        <v>47.6</v>
      </c>
      <c r="J62" s="35">
        <v>46</v>
      </c>
      <c r="K62" s="35">
        <v>73.400000000000006</v>
      </c>
      <c r="L62" s="35">
        <v>92.1</v>
      </c>
      <c r="M62" s="11">
        <f t="shared" si="74"/>
        <v>77</v>
      </c>
      <c r="N62" s="11" t="b">
        <f t="shared" si="41"/>
        <v>1</v>
      </c>
      <c r="O62" s="2">
        <f t="shared" si="42"/>
        <v>41.99</v>
      </c>
      <c r="P62" s="11">
        <f t="shared" si="75"/>
        <v>4.4000000000000004</v>
      </c>
      <c r="Q62" s="11">
        <f t="shared" si="44"/>
        <v>9.5</v>
      </c>
      <c r="R62" s="11">
        <f t="shared" si="76"/>
        <v>12</v>
      </c>
      <c r="S62" s="11">
        <f t="shared" si="46"/>
        <v>14.93</v>
      </c>
      <c r="T62" s="11">
        <f t="shared" si="77"/>
        <v>84</v>
      </c>
      <c r="U62" s="2">
        <f t="shared" si="47"/>
        <v>46.37</v>
      </c>
      <c r="V62" s="11">
        <f t="shared" si="78"/>
        <v>2.1</v>
      </c>
      <c r="W62" s="11">
        <f t="shared" si="48"/>
        <v>16.41</v>
      </c>
      <c r="X62" s="11">
        <f t="shared" si="79"/>
        <v>5</v>
      </c>
      <c r="Y62" s="11">
        <f t="shared" si="49"/>
        <v>21.74</v>
      </c>
      <c r="Z62" s="11">
        <f t="shared" si="80"/>
        <v>32</v>
      </c>
      <c r="AA62" s="2">
        <f t="shared" si="50"/>
        <v>27.93</v>
      </c>
      <c r="AB62" s="11">
        <f t="shared" si="81"/>
        <v>2</v>
      </c>
      <c r="AC62" s="11">
        <f t="shared" si="51"/>
        <v>28.17</v>
      </c>
      <c r="AD62" s="11">
        <f t="shared" si="82"/>
        <v>21</v>
      </c>
      <c r="AE62" s="11">
        <f t="shared" si="52"/>
        <v>33.869999999999997</v>
      </c>
      <c r="AF62" s="11">
        <f t="shared" si="83"/>
        <v>13</v>
      </c>
      <c r="AG62" s="2">
        <f t="shared" si="53"/>
        <v>10.91</v>
      </c>
      <c r="AH62" s="11">
        <f t="shared" si="84"/>
        <v>6.1</v>
      </c>
      <c r="AI62" s="11">
        <f t="shared" si="54"/>
        <v>34.86</v>
      </c>
      <c r="AJ62" s="11">
        <f t="shared" si="85"/>
        <v>16</v>
      </c>
      <c r="AK62" s="11">
        <f t="shared" si="55"/>
        <v>26.67</v>
      </c>
      <c r="AL62" s="2">
        <f t="shared" si="56"/>
        <v>36.1</v>
      </c>
      <c r="AM62" s="2">
        <f t="shared" si="57"/>
        <v>45.41</v>
      </c>
      <c r="AN62" s="2">
        <f t="shared" si="58"/>
        <v>53.9</v>
      </c>
    </row>
    <row r="63" spans="1:40" x14ac:dyDescent="0.25">
      <c r="A63" s="13">
        <v>56</v>
      </c>
      <c r="B63" s="2" t="s">
        <v>32</v>
      </c>
      <c r="C63" s="2">
        <f t="shared" si="36"/>
        <v>62</v>
      </c>
      <c r="D63" s="2">
        <v>180</v>
      </c>
      <c r="E63" s="2">
        <f t="shared" si="37"/>
        <v>23.13</v>
      </c>
      <c r="F63" s="2">
        <v>225</v>
      </c>
      <c r="G63" s="2">
        <f t="shared" si="38"/>
        <v>52.83</v>
      </c>
      <c r="H63" s="2" t="b">
        <f t="shared" si="39"/>
        <v>1</v>
      </c>
      <c r="I63" s="35">
        <f>VLOOKUP(B63,Uni_TU_Lkp,6,FALSE)</f>
        <v>49.4</v>
      </c>
      <c r="J63" s="35">
        <f>VLOOKUP(B63,Uni_TU_Lkp,7,FALSE)</f>
        <v>60.8</v>
      </c>
      <c r="K63" s="35">
        <f>VLOOKUP(B63,Uni_TU_Lkp,8,FALSE)</f>
        <v>74.5</v>
      </c>
      <c r="L63" s="35">
        <f>VLOOKUP(B63,Uni_TU_Lkp,9,FALSE)</f>
        <v>88.4</v>
      </c>
      <c r="M63" s="11">
        <f t="shared" si="74"/>
        <v>153</v>
      </c>
      <c r="N63" s="11" t="b">
        <f t="shared" si="41"/>
        <v>0</v>
      </c>
      <c r="O63" s="2">
        <f t="shared" si="42"/>
        <v>83.98</v>
      </c>
      <c r="P63" s="11">
        <f t="shared" si="75"/>
        <v>2.1</v>
      </c>
      <c r="Q63" s="11">
        <f t="shared" si="44"/>
        <v>4.54</v>
      </c>
      <c r="R63" s="11">
        <f t="shared" si="76"/>
        <v>8</v>
      </c>
      <c r="S63" s="11">
        <f t="shared" si="46"/>
        <v>8.9600000000000009</v>
      </c>
      <c r="T63" s="11">
        <f t="shared" si="77"/>
        <v>126</v>
      </c>
      <c r="U63" s="2">
        <f t="shared" si="47"/>
        <v>69.83</v>
      </c>
      <c r="V63" s="11">
        <f t="shared" si="78"/>
        <v>1.4</v>
      </c>
      <c r="W63" s="11">
        <f t="shared" si="48"/>
        <v>10.94</v>
      </c>
      <c r="X63" s="11">
        <f t="shared" si="79"/>
        <v>1</v>
      </c>
      <c r="Y63" s="11">
        <f t="shared" si="49"/>
        <v>4.3499999999999996</v>
      </c>
      <c r="Z63" s="11">
        <f t="shared" si="80"/>
        <v>59</v>
      </c>
      <c r="AA63" s="2">
        <f t="shared" si="50"/>
        <v>52.25</v>
      </c>
      <c r="AB63" s="11">
        <f t="shared" si="81"/>
        <v>1.4</v>
      </c>
      <c r="AC63" s="11">
        <f t="shared" si="51"/>
        <v>19.72</v>
      </c>
      <c r="AD63" s="11">
        <f t="shared" si="82"/>
        <v>8</v>
      </c>
      <c r="AE63" s="11">
        <f t="shared" si="52"/>
        <v>12.9</v>
      </c>
      <c r="AF63" s="11">
        <f t="shared" si="83"/>
        <v>58</v>
      </c>
      <c r="AG63" s="2">
        <f t="shared" si="53"/>
        <v>51.82</v>
      </c>
      <c r="AH63" s="11">
        <f t="shared" si="84"/>
        <v>1.9</v>
      </c>
      <c r="AI63" s="11">
        <f t="shared" si="54"/>
        <v>10.86</v>
      </c>
      <c r="AJ63" s="11">
        <f t="shared" si="85"/>
        <v>5</v>
      </c>
      <c r="AK63" s="11">
        <f t="shared" si="55"/>
        <v>8.33</v>
      </c>
      <c r="AL63" s="2">
        <f t="shared" si="56"/>
        <v>71.569999999999993</v>
      </c>
      <c r="AM63" s="2">
        <f t="shared" si="57"/>
        <v>42.74</v>
      </c>
      <c r="AN63" s="2">
        <f t="shared" si="58"/>
        <v>54.39</v>
      </c>
    </row>
    <row r="64" spans="1:40" x14ac:dyDescent="0.25">
      <c r="A64" s="13">
        <v>57</v>
      </c>
      <c r="B64" s="2" t="s">
        <v>418</v>
      </c>
      <c r="C64" s="2">
        <f t="shared" si="36"/>
        <v>63</v>
      </c>
      <c r="D64" s="2">
        <v>450</v>
      </c>
      <c r="E64" s="2">
        <f t="shared" si="37"/>
        <v>58.01</v>
      </c>
      <c r="F64" s="2">
        <v>353</v>
      </c>
      <c r="G64" s="2">
        <f t="shared" si="38"/>
        <v>83.02</v>
      </c>
      <c r="H64" s="2" t="b">
        <f t="shared" si="39"/>
        <v>0</v>
      </c>
      <c r="I64" s="35">
        <v>30.884152516916572</v>
      </c>
      <c r="J64" s="35">
        <v>39.450696878377585</v>
      </c>
      <c r="K64" s="35">
        <v>57.131833893930533</v>
      </c>
      <c r="L64" s="35">
        <v>70.736114709936729</v>
      </c>
      <c r="M64" s="11">
        <f t="shared" si="74"/>
        <v>44</v>
      </c>
      <c r="N64" s="11" t="b">
        <f t="shared" si="41"/>
        <v>1</v>
      </c>
      <c r="O64" s="2">
        <f t="shared" si="42"/>
        <v>23.76</v>
      </c>
      <c r="P64" s="11">
        <f t="shared" si="75"/>
        <v>6.1</v>
      </c>
      <c r="Q64" s="11">
        <f t="shared" si="44"/>
        <v>13.17</v>
      </c>
      <c r="R64" s="11">
        <f t="shared" si="76"/>
        <v>10</v>
      </c>
      <c r="S64" s="11">
        <f t="shared" si="46"/>
        <v>11.94</v>
      </c>
      <c r="T64" s="11">
        <f t="shared" si="77"/>
        <v>55</v>
      </c>
      <c r="U64" s="2">
        <f t="shared" si="47"/>
        <v>30.17</v>
      </c>
      <c r="V64" s="11">
        <f t="shared" si="78"/>
        <v>2.8</v>
      </c>
      <c r="W64" s="11">
        <f t="shared" si="48"/>
        <v>21.88</v>
      </c>
      <c r="X64" s="11">
        <f t="shared" si="79"/>
        <v>3</v>
      </c>
      <c r="Y64" s="11">
        <f t="shared" si="49"/>
        <v>13.04</v>
      </c>
      <c r="Z64" s="11">
        <f t="shared" si="80"/>
        <v>39</v>
      </c>
      <c r="AA64" s="2">
        <f t="shared" si="50"/>
        <v>34.229999999999997</v>
      </c>
      <c r="AB64" s="11">
        <f t="shared" si="81"/>
        <v>1.8</v>
      </c>
      <c r="AC64" s="11">
        <f t="shared" si="51"/>
        <v>25.35</v>
      </c>
      <c r="AD64" s="11">
        <f t="shared" si="82"/>
        <v>17</v>
      </c>
      <c r="AE64" s="11">
        <f t="shared" si="52"/>
        <v>27.42</v>
      </c>
      <c r="AF64" s="11">
        <f t="shared" si="83"/>
        <v>50</v>
      </c>
      <c r="AG64" s="2">
        <f t="shared" si="53"/>
        <v>44.55</v>
      </c>
      <c r="AH64" s="11">
        <f t="shared" si="84"/>
        <v>2.1</v>
      </c>
      <c r="AI64" s="11">
        <f t="shared" si="54"/>
        <v>12</v>
      </c>
      <c r="AJ64" s="11">
        <f t="shared" si="85"/>
        <v>7</v>
      </c>
      <c r="AK64" s="11">
        <f t="shared" si="55"/>
        <v>11.67</v>
      </c>
      <c r="AL64" s="2">
        <f t="shared" si="56"/>
        <v>29.73</v>
      </c>
      <c r="AM64" s="2">
        <f t="shared" si="57"/>
        <v>34.74</v>
      </c>
      <c r="AN64" s="2">
        <f t="shared" si="58"/>
        <v>56.7</v>
      </c>
    </row>
    <row r="65" spans="1:40" x14ac:dyDescent="0.25">
      <c r="A65" s="13">
        <v>61</v>
      </c>
      <c r="B65" s="2" t="s">
        <v>391</v>
      </c>
      <c r="C65" s="2">
        <f t="shared" si="36"/>
        <v>64</v>
      </c>
      <c r="D65" s="2">
        <v>349</v>
      </c>
      <c r="E65" s="2">
        <f t="shared" si="37"/>
        <v>44.96</v>
      </c>
      <c r="F65" s="2">
        <v>375</v>
      </c>
      <c r="G65" s="2">
        <f t="shared" si="38"/>
        <v>88.21</v>
      </c>
      <c r="H65" s="2" t="b">
        <f t="shared" si="39"/>
        <v>1</v>
      </c>
      <c r="I65" s="35">
        <v>56.6</v>
      </c>
      <c r="J65" s="35">
        <v>27.5</v>
      </c>
      <c r="K65" s="35">
        <v>74.099999999999994</v>
      </c>
      <c r="L65" s="35">
        <v>90.6</v>
      </c>
      <c r="M65" s="11">
        <f t="shared" si="74"/>
        <v>64</v>
      </c>
      <c r="N65" s="11" t="b">
        <f t="shared" si="41"/>
        <v>1</v>
      </c>
      <c r="O65" s="2">
        <f t="shared" si="42"/>
        <v>34.81</v>
      </c>
      <c r="P65" s="11">
        <f t="shared" si="75"/>
        <v>5</v>
      </c>
      <c r="Q65" s="11">
        <f t="shared" si="44"/>
        <v>10.8</v>
      </c>
      <c r="R65" s="11">
        <f t="shared" si="76"/>
        <v>15</v>
      </c>
      <c r="S65" s="11">
        <f t="shared" si="46"/>
        <v>19.399999999999999</v>
      </c>
      <c r="T65" s="11">
        <f t="shared" si="77"/>
        <v>66</v>
      </c>
      <c r="U65" s="2">
        <f t="shared" si="47"/>
        <v>36.31</v>
      </c>
      <c r="V65" s="11">
        <f t="shared" si="78"/>
        <v>2.5</v>
      </c>
      <c r="W65" s="11">
        <f t="shared" si="48"/>
        <v>19.53</v>
      </c>
      <c r="X65" s="11">
        <f t="shared" si="79"/>
        <v>3</v>
      </c>
      <c r="Y65" s="11">
        <f t="shared" si="49"/>
        <v>13.04</v>
      </c>
      <c r="Z65" s="11">
        <f t="shared" si="80"/>
        <v>35</v>
      </c>
      <c r="AA65" s="2">
        <f t="shared" si="50"/>
        <v>30.63</v>
      </c>
      <c r="AB65" s="11">
        <f t="shared" si="81"/>
        <v>1.9</v>
      </c>
      <c r="AC65" s="11">
        <f t="shared" si="51"/>
        <v>26.76</v>
      </c>
      <c r="AD65" s="11">
        <f t="shared" si="82"/>
        <v>18</v>
      </c>
      <c r="AE65" s="11">
        <f t="shared" si="52"/>
        <v>29.03</v>
      </c>
      <c r="AF65" s="11">
        <f t="shared" si="83"/>
        <v>18</v>
      </c>
      <c r="AG65" s="2">
        <f t="shared" si="53"/>
        <v>15.45</v>
      </c>
      <c r="AH65" s="11">
        <f t="shared" si="84"/>
        <v>4.0999999999999996</v>
      </c>
      <c r="AI65" s="11">
        <f t="shared" si="54"/>
        <v>23.43</v>
      </c>
      <c r="AJ65" s="11">
        <f t="shared" si="85"/>
        <v>8</v>
      </c>
      <c r="AK65" s="11">
        <f t="shared" si="55"/>
        <v>13.33</v>
      </c>
      <c r="AL65" s="2">
        <f t="shared" si="56"/>
        <v>31.58</v>
      </c>
      <c r="AM65" s="2">
        <f t="shared" si="57"/>
        <v>46.52</v>
      </c>
      <c r="AN65" s="2">
        <f t="shared" si="58"/>
        <v>56.91</v>
      </c>
    </row>
    <row r="66" spans="1:40" x14ac:dyDescent="0.25">
      <c r="A66" s="13">
        <v>66</v>
      </c>
      <c r="B66" s="2" t="s">
        <v>423</v>
      </c>
      <c r="C66" s="2">
        <f t="shared" si="36"/>
        <v>65</v>
      </c>
      <c r="D66" s="2">
        <v>426</v>
      </c>
      <c r="E66" s="2">
        <f t="shared" ref="E66:E68" si="86" xml:space="preserve"> ROUND((((D66 - $D$74)/($D$73 - $D$74))*100),2)</f>
        <v>54.91</v>
      </c>
      <c r="F66" s="2">
        <v>375</v>
      </c>
      <c r="G66" s="2">
        <f t="shared" ref="G66:G68" si="87" xml:space="preserve"> ROUND((((F66 - $F$74)/($F$73 - $F$74))*100),2)</f>
        <v>88.21</v>
      </c>
      <c r="H66" s="2" t="b">
        <f t="shared" si="39"/>
        <v>0</v>
      </c>
      <c r="I66" s="2">
        <v>49.4</v>
      </c>
      <c r="J66" s="2">
        <v>52.6</v>
      </c>
      <c r="K66" s="2">
        <v>67.099999999999994</v>
      </c>
      <c r="L66" s="2">
        <v>83.3</v>
      </c>
      <c r="M66" s="11">
        <f t="shared" si="74"/>
        <v>56</v>
      </c>
      <c r="N66" s="11" t="b">
        <f t="shared" ref="N66:N68" si="88">M66&lt;100</f>
        <v>1</v>
      </c>
      <c r="O66" s="2">
        <f t="shared" si="42"/>
        <v>30.39</v>
      </c>
      <c r="P66" s="11">
        <f t="shared" si="75"/>
        <v>5.5</v>
      </c>
      <c r="Q66" s="11">
        <f t="shared" ref="Q66:Q68" si="89" xml:space="preserve"> ROUND((((P66 - $P$74)/($P$73 - $P$74)) * 100),2)</f>
        <v>11.88</v>
      </c>
      <c r="R66" s="11">
        <f t="shared" si="76"/>
        <v>14</v>
      </c>
      <c r="S66" s="11">
        <f t="shared" ref="S66:S68" si="90" xml:space="preserve"> ROUND((((R66 - $R$74)/($R$73 - $R$74)) * 100),2)</f>
        <v>17.91</v>
      </c>
      <c r="T66" s="11">
        <f t="shared" si="77"/>
        <v>91</v>
      </c>
      <c r="U66" s="2">
        <f t="shared" ref="U66:U68" si="91" xml:space="preserve"> ROUND((((T66 - $T$74)/($T$73 - $T$74))*100),2)</f>
        <v>50.28</v>
      </c>
      <c r="V66" s="11">
        <f t="shared" si="78"/>
        <v>2</v>
      </c>
      <c r="W66" s="11">
        <f t="shared" ref="W66:W68" si="92" xml:space="preserve"> ROUND((((V66 - $V$74)/($V$73 - $V$74)) * 100),2)</f>
        <v>15.63</v>
      </c>
      <c r="X66" s="11">
        <f t="shared" si="79"/>
        <v>3</v>
      </c>
      <c r="Y66" s="11">
        <f t="shared" ref="Y66:Y68" si="93" xml:space="preserve"> ROUND((((X66 - $X$74)/($X$73 - $X$74)) * 100),2)</f>
        <v>13.04</v>
      </c>
      <c r="Z66" s="11">
        <f t="shared" si="80"/>
        <v>39</v>
      </c>
      <c r="AA66" s="2">
        <f t="shared" ref="AA66:AA68" si="94" xml:space="preserve"> ROUND((((Z66 - $Z$74)/($Z$73 - $Z$74))*100),2)</f>
        <v>34.229999999999997</v>
      </c>
      <c r="AB66" s="11">
        <f t="shared" si="81"/>
        <v>1.8</v>
      </c>
      <c r="AC66" s="11">
        <f t="shared" ref="AC66:AC68" si="95" xml:space="preserve"> ROUND((((AB66 - $AB$74)/($AB$73 - $AB$74)) * 100),2)</f>
        <v>25.35</v>
      </c>
      <c r="AD66" s="11">
        <f t="shared" si="82"/>
        <v>13</v>
      </c>
      <c r="AE66" s="11">
        <f t="shared" ref="AE66:AE68" si="96" xml:space="preserve"> ROUND((((AD66 - $AD$74)/($AD$73 - $AD$74)) * 100),2)</f>
        <v>20.97</v>
      </c>
      <c r="AF66" s="11">
        <f t="shared" si="83"/>
        <v>96</v>
      </c>
      <c r="AG66" s="2">
        <f t="shared" ref="AG66:AG68" si="97" xml:space="preserve"> ROUND((((AF66 - $AF$74)/($AF$73 - $AF$74))*100),2)</f>
        <v>86.36</v>
      </c>
      <c r="AH66" s="11">
        <f t="shared" si="84"/>
        <v>1.2</v>
      </c>
      <c r="AI66" s="11">
        <f t="shared" ref="AI66:AI68" si="98" xml:space="preserve"> ROUND((((AH66 - $AH$74)/($AH$73 - $AH$74)) * 100),2)</f>
        <v>6.86</v>
      </c>
      <c r="AJ66" s="11">
        <f t="shared" si="85"/>
        <v>4</v>
      </c>
      <c r="AK66" s="11">
        <f t="shared" ref="AK66:AK68" si="99" xml:space="preserve"> ROUND((((AJ66 - $AJ$74)/($AJ$73 - $AJ$74)) * 100),2)</f>
        <v>6.67</v>
      </c>
      <c r="AL66" s="2">
        <f t="shared" si="56"/>
        <v>43.34</v>
      </c>
      <c r="AM66" s="2">
        <f t="shared" si="57"/>
        <v>42.56</v>
      </c>
      <c r="AN66" s="2">
        <f t="shared" si="58"/>
        <v>63.6</v>
      </c>
    </row>
    <row r="67" spans="1:40" x14ac:dyDescent="0.25">
      <c r="A67" s="13">
        <v>58</v>
      </c>
      <c r="B67" s="2" t="s">
        <v>386</v>
      </c>
      <c r="C67" s="2">
        <f t="shared" si="36"/>
        <v>66</v>
      </c>
      <c r="D67" s="2">
        <v>384</v>
      </c>
      <c r="E67" s="2">
        <f t="shared" si="86"/>
        <v>49.48</v>
      </c>
      <c r="F67" s="2">
        <v>325</v>
      </c>
      <c r="G67" s="2">
        <f t="shared" si="87"/>
        <v>76.42</v>
      </c>
      <c r="H67" s="2" t="b">
        <f t="shared" si="39"/>
        <v>0</v>
      </c>
      <c r="I67" s="35">
        <f>VLOOKUP(B67,Uni_TU_Lkp,6,FALSE)</f>
        <v>40.299999999999997</v>
      </c>
      <c r="J67" s="35">
        <f>VLOOKUP(B67,Uni_TU_Lkp,7,FALSE)</f>
        <v>53.9</v>
      </c>
      <c r="K67" s="35">
        <f>VLOOKUP(B67,Uni_TU_Lkp,8,FALSE)</f>
        <v>77.900000000000006</v>
      </c>
      <c r="L67" s="35">
        <f>VLOOKUP(B67,Uni_TU_Lkp,9,FALSE)</f>
        <v>93.2</v>
      </c>
      <c r="M67" s="11">
        <f t="shared" si="74"/>
        <v>131</v>
      </c>
      <c r="N67" s="11" t="b">
        <f t="shared" si="88"/>
        <v>0</v>
      </c>
      <c r="O67" s="2">
        <f t="shared" si="42"/>
        <v>71.819999999999993</v>
      </c>
      <c r="P67" s="11">
        <f t="shared" si="75"/>
        <v>2.4</v>
      </c>
      <c r="Q67" s="88">
        <f t="shared" si="89"/>
        <v>5.18</v>
      </c>
      <c r="R67" s="11">
        <f t="shared" si="76"/>
        <v>9</v>
      </c>
      <c r="S67" s="11">
        <f t="shared" si="90"/>
        <v>10.45</v>
      </c>
      <c r="T67" s="11">
        <f t="shared" si="77"/>
        <v>110</v>
      </c>
      <c r="U67" s="2">
        <f t="shared" si="91"/>
        <v>60.89</v>
      </c>
      <c r="V67" s="11">
        <f t="shared" si="78"/>
        <v>1.7</v>
      </c>
      <c r="W67" s="11">
        <f t="shared" si="92"/>
        <v>13.28</v>
      </c>
      <c r="X67" s="11">
        <f t="shared" si="79"/>
        <v>4</v>
      </c>
      <c r="Y67" s="11">
        <f t="shared" si="93"/>
        <v>17.39</v>
      </c>
      <c r="Z67" s="11">
        <f t="shared" si="80"/>
        <v>15</v>
      </c>
      <c r="AA67" s="2">
        <f t="shared" si="94"/>
        <v>12.61</v>
      </c>
      <c r="AB67" s="11">
        <f t="shared" si="81"/>
        <v>3.2</v>
      </c>
      <c r="AC67" s="11">
        <f t="shared" si="95"/>
        <v>45.07</v>
      </c>
      <c r="AD67" s="11">
        <f t="shared" si="82"/>
        <v>25</v>
      </c>
      <c r="AE67" s="11">
        <f t="shared" si="96"/>
        <v>40.32</v>
      </c>
      <c r="AF67" s="11">
        <f t="shared" si="83"/>
        <v>96</v>
      </c>
      <c r="AG67" s="2">
        <f t="shared" si="97"/>
        <v>86.36</v>
      </c>
      <c r="AH67" s="11">
        <f t="shared" si="84"/>
        <v>1.2</v>
      </c>
      <c r="AI67" s="11">
        <f t="shared" si="98"/>
        <v>6.86</v>
      </c>
      <c r="AJ67" s="11">
        <f t="shared" si="85"/>
        <v>2</v>
      </c>
      <c r="AK67" s="11">
        <f t="shared" si="99"/>
        <v>3.33</v>
      </c>
      <c r="AL67" s="2">
        <f t="shared" si="56"/>
        <v>62.93</v>
      </c>
      <c r="AM67" s="2">
        <f t="shared" si="57"/>
        <v>43.68</v>
      </c>
      <c r="AN67" s="2">
        <f t="shared" si="58"/>
        <v>65.64</v>
      </c>
    </row>
    <row r="68" spans="1:40" x14ac:dyDescent="0.25">
      <c r="A68" s="13">
        <v>63</v>
      </c>
      <c r="B68" s="2" t="s">
        <v>395</v>
      </c>
      <c r="C68" s="2">
        <f t="shared" si="36"/>
        <v>67</v>
      </c>
      <c r="D68" s="2">
        <v>775</v>
      </c>
      <c r="E68" s="2">
        <f t="shared" si="86"/>
        <v>100</v>
      </c>
      <c r="F68" s="2">
        <v>425</v>
      </c>
      <c r="G68" s="2">
        <f t="shared" si="87"/>
        <v>100</v>
      </c>
      <c r="H68" s="2" t="b">
        <f t="shared" si="39"/>
        <v>0</v>
      </c>
      <c r="I68" s="35">
        <v>39.6</v>
      </c>
      <c r="J68" s="35">
        <v>49.4</v>
      </c>
      <c r="K68" s="35">
        <v>64.599999999999994</v>
      </c>
      <c r="L68" s="35">
        <v>82.1</v>
      </c>
      <c r="M68" s="11">
        <f t="shared" si="74"/>
        <v>77</v>
      </c>
      <c r="N68" s="11" t="b">
        <f t="shared" si="88"/>
        <v>1</v>
      </c>
      <c r="O68" s="2">
        <f t="shared" si="42"/>
        <v>41.99</v>
      </c>
      <c r="P68" s="11">
        <f t="shared" si="75"/>
        <v>4.4000000000000004</v>
      </c>
      <c r="Q68" s="11">
        <f t="shared" si="89"/>
        <v>9.5</v>
      </c>
      <c r="R68" s="11">
        <f t="shared" si="76"/>
        <v>9</v>
      </c>
      <c r="S68" s="11">
        <f t="shared" si="90"/>
        <v>10.45</v>
      </c>
      <c r="T68" s="11">
        <f t="shared" si="77"/>
        <v>166</v>
      </c>
      <c r="U68" s="2">
        <f t="shared" si="91"/>
        <v>92.18</v>
      </c>
      <c r="V68" s="11">
        <f t="shared" si="78"/>
        <v>1.1000000000000001</v>
      </c>
      <c r="W68" s="11">
        <f t="shared" si="92"/>
        <v>8.59</v>
      </c>
      <c r="X68" s="11">
        <f t="shared" si="79"/>
        <v>1</v>
      </c>
      <c r="Y68" s="11">
        <f t="shared" si="93"/>
        <v>4.3499999999999996</v>
      </c>
      <c r="Z68" s="11">
        <f t="shared" si="80"/>
        <v>64</v>
      </c>
      <c r="AA68" s="2">
        <f t="shared" si="94"/>
        <v>56.76</v>
      </c>
      <c r="AB68" s="11">
        <f t="shared" si="81"/>
        <v>1.3</v>
      </c>
      <c r="AC68" s="11">
        <f t="shared" si="95"/>
        <v>18.309999999999999</v>
      </c>
      <c r="AD68" s="11">
        <f t="shared" si="82"/>
        <v>7</v>
      </c>
      <c r="AE68" s="11">
        <f t="shared" si="96"/>
        <v>11.29</v>
      </c>
      <c r="AF68" s="11">
        <f t="shared" si="83"/>
        <v>23</v>
      </c>
      <c r="AG68" s="2">
        <f t="shared" si="97"/>
        <v>20</v>
      </c>
      <c r="AH68" s="11">
        <f t="shared" si="84"/>
        <v>3.9</v>
      </c>
      <c r="AI68" s="11">
        <f t="shared" si="98"/>
        <v>22.29</v>
      </c>
      <c r="AJ68" s="11">
        <f t="shared" si="85"/>
        <v>6</v>
      </c>
      <c r="AK68" s="11">
        <f t="shared" si="99"/>
        <v>10</v>
      </c>
      <c r="AL68" s="2">
        <f t="shared" si="56"/>
        <v>50.95</v>
      </c>
      <c r="AM68" s="2">
        <f t="shared" si="57"/>
        <v>40.630000000000003</v>
      </c>
      <c r="AN68" s="2">
        <f t="shared" si="58"/>
        <v>80.38</v>
      </c>
    </row>
    <row r="69" spans="1:40" x14ac:dyDescent="0.25">
      <c r="Q69" s="18"/>
    </row>
    <row r="70" spans="1:40" x14ac:dyDescent="0.25">
      <c r="Q70" s="18"/>
    </row>
    <row r="71" spans="1:40" x14ac:dyDescent="0.25">
      <c r="A71" s="56"/>
      <c r="B71" s="33" t="s">
        <v>607</v>
      </c>
      <c r="C71" s="33"/>
      <c r="D71" s="33">
        <f>AVERAGE(D2:D68)</f>
        <v>114.95522388059702</v>
      </c>
      <c r="E71" s="33"/>
      <c r="F71" s="33">
        <f>AVERAGE(F2:F68)</f>
        <v>107.40298507462687</v>
      </c>
      <c r="G71" s="33"/>
      <c r="H71" s="33"/>
      <c r="I71" s="33">
        <f>AVERAGE(I2:I59)</f>
        <v>68.375862068965532</v>
      </c>
      <c r="J71" s="33">
        <f>AVERAGE(J2:J59)</f>
        <v>74.210344827586198</v>
      </c>
      <c r="K71" s="33">
        <f>AVERAGE(K2:K59)</f>
        <v>81.212068965517261</v>
      </c>
      <c r="L71" s="33">
        <f>AVERAGE(L2:L59)</f>
        <v>91.139655172413782</v>
      </c>
      <c r="M71" s="33">
        <f>AVERAGE(M2:M59)</f>
        <v>56.448275862068968</v>
      </c>
      <c r="N71" s="33"/>
      <c r="O71" s="33"/>
      <c r="P71" s="33">
        <f>AVERAGE(P2:P68)</f>
        <v>7.419402985074627</v>
      </c>
      <c r="Q71" s="33"/>
      <c r="R71" s="33">
        <f>AVERAGE(R2:R68)</f>
        <v>18.014925373134329</v>
      </c>
      <c r="S71" s="33"/>
      <c r="T71" s="33">
        <f>AVERAGE(T2:T68)</f>
        <v>70.940298507462686</v>
      </c>
      <c r="U71" s="33"/>
      <c r="V71" s="33">
        <f>AVERAGE(V2:V68)</f>
        <v>3.5716417910447751</v>
      </c>
      <c r="W71" s="33"/>
      <c r="X71" s="33">
        <f>AVERAGE(X2:X68)</f>
        <v>6.5820895522388057</v>
      </c>
      <c r="Y71" s="33"/>
      <c r="Z71" s="33">
        <f>AVERAGE(Z2:Z68)</f>
        <v>45</v>
      </c>
      <c r="AA71" s="33"/>
      <c r="AB71" s="33">
        <f>AVERAGE(AB2:AB68)</f>
        <v>2.2492537313432841</v>
      </c>
      <c r="AC71" s="33"/>
      <c r="AD71" s="33">
        <f>AVERAGE(AD2:AD59)</f>
        <v>16.413793103448278</v>
      </c>
      <c r="AE71" s="33"/>
      <c r="AF71" s="33">
        <f>AVERAGE(AF2:AF68)</f>
        <v>49.522388059701491</v>
      </c>
      <c r="AG71" s="33"/>
      <c r="AH71" s="33">
        <f>AVERAGE(AH2:AH68)</f>
        <v>3.7582089552238807</v>
      </c>
      <c r="AI71" s="33"/>
      <c r="AJ71" s="33">
        <f>AVERAGE(AJ2:AJ68)</f>
        <v>8.9253731343283587</v>
      </c>
      <c r="AK71" s="33"/>
      <c r="AL71" s="33"/>
      <c r="AM71" s="33"/>
      <c r="AN71" s="33"/>
    </row>
    <row r="72" spans="1:40" x14ac:dyDescent="0.25">
      <c r="A72" s="56"/>
      <c r="B72" s="33" t="s">
        <v>608</v>
      </c>
      <c r="C72" s="33"/>
      <c r="D72" s="33">
        <f>_xlfn.STDEV.P(D2:D68)</f>
        <v>138.06697842863284</v>
      </c>
      <c r="E72" s="33"/>
      <c r="F72" s="33">
        <f>_xlfn.STDEV.P(F2:F68)</f>
        <v>106.06391479169565</v>
      </c>
      <c r="G72" s="33"/>
      <c r="H72" s="33"/>
      <c r="I72" s="33">
        <f>_xlfn.STDEV.P(I2:I59)</f>
        <v>12.239651650790508</v>
      </c>
      <c r="J72" s="33">
        <f>_xlfn.STDEV.P(J2:J59)</f>
        <v>11.660465029692446</v>
      </c>
      <c r="K72" s="33">
        <f>_xlfn.STDEV.P(K2:K59)</f>
        <v>8.3270452098133418</v>
      </c>
      <c r="L72" s="33">
        <f>_xlfn.STDEV.P(L2:L59)</f>
        <v>5.1310730092176167</v>
      </c>
      <c r="M72" s="33">
        <f>_xlfn.STDEV.P(M2:M59)</f>
        <v>41.821530675739631</v>
      </c>
      <c r="N72" s="33"/>
      <c r="O72" s="33"/>
      <c r="P72" s="33">
        <f>_xlfn.STDEV.P(P2:P68)</f>
        <v>6.5040340824034502</v>
      </c>
      <c r="Q72" s="89"/>
      <c r="R72" s="33">
        <f>_xlfn.STDEV.P(R2:R68)</f>
        <v>10.976899131661439</v>
      </c>
      <c r="S72" s="33"/>
      <c r="T72" s="33">
        <f>_xlfn.STDEV.P(T2:T68)</f>
        <v>54.792112025449441</v>
      </c>
      <c r="U72" s="33"/>
      <c r="V72" s="33">
        <f>_xlfn.STDEV.P(V2:V68)</f>
        <v>2.7592885720643947</v>
      </c>
      <c r="W72" s="33"/>
      <c r="X72" s="33">
        <f>_xlfn.STDEV.P(X2:X68)</f>
        <v>5.2834556018251924</v>
      </c>
      <c r="Y72" s="33"/>
      <c r="Z72" s="33">
        <f>_xlfn.STDEV.P(Z2:Z68)</f>
        <v>36.416332238864243</v>
      </c>
      <c r="AA72" s="33"/>
      <c r="AB72" s="33">
        <f>_xlfn.STDEV.P(AB2:AB68)</f>
        <v>1.6592907255028597</v>
      </c>
      <c r="AC72" s="33"/>
      <c r="AD72" s="33">
        <f>_xlfn.STDEV.P(AD2:AD59)</f>
        <v>13.301587256542007</v>
      </c>
      <c r="AE72" s="33"/>
      <c r="AF72" s="33">
        <f>_xlfn.STDEV.P(AF2:AF68)</f>
        <v>37.783103784768713</v>
      </c>
      <c r="AG72" s="33"/>
      <c r="AH72" s="33">
        <f>_xlfn.STDEV.P(AH2:AH68)</f>
        <v>3.9305975108319866</v>
      </c>
      <c r="AI72" s="33"/>
      <c r="AJ72" s="33">
        <f>_xlfn.STDEV.P(AJ2:AJ68)</f>
        <v>9.9135267650050896</v>
      </c>
      <c r="AK72" s="33"/>
      <c r="AL72" s="33"/>
      <c r="AM72" s="33"/>
      <c r="AN72" s="33"/>
    </row>
    <row r="73" spans="1:40" x14ac:dyDescent="0.25">
      <c r="A73" s="56"/>
      <c r="B73" s="33" t="s">
        <v>609</v>
      </c>
      <c r="C73" s="33"/>
      <c r="D73" s="33">
        <f>MAX(D2:D68)</f>
        <v>775</v>
      </c>
      <c r="E73" s="33"/>
      <c r="F73" s="33">
        <f>MAX(F2:F68)</f>
        <v>425</v>
      </c>
      <c r="G73" s="33"/>
      <c r="H73" s="33"/>
      <c r="I73" s="33">
        <f>MAX(I2:I59)</f>
        <v>100</v>
      </c>
      <c r="J73" s="33">
        <f>MAX(J2:J59)</f>
        <v>100</v>
      </c>
      <c r="K73" s="33">
        <f>MAX(K2:K59)</f>
        <v>100</v>
      </c>
      <c r="L73" s="33">
        <f>MAX(L2:L59)</f>
        <v>100</v>
      </c>
      <c r="M73" s="33">
        <f>MAX(M2:M59)</f>
        <v>182</v>
      </c>
      <c r="N73" s="33"/>
      <c r="O73" s="33"/>
      <c r="P73" s="33">
        <f>MAX(P2:P68)</f>
        <v>46.3</v>
      </c>
      <c r="Q73" s="33"/>
      <c r="R73" s="33">
        <f>MAX(R2:R68)</f>
        <v>69</v>
      </c>
      <c r="S73" s="33"/>
      <c r="T73" s="33">
        <f>MAX(T2:T68)</f>
        <v>180</v>
      </c>
      <c r="U73" s="33"/>
      <c r="V73" s="33">
        <f>MAX(V2:V68)</f>
        <v>12.8</v>
      </c>
      <c r="W73" s="33"/>
      <c r="X73" s="33">
        <f>MAX(X2:X68)</f>
        <v>23</v>
      </c>
      <c r="Y73" s="33"/>
      <c r="Z73" s="33">
        <f>MAX(Z2:Z68)</f>
        <v>112</v>
      </c>
      <c r="AA73" s="33"/>
      <c r="AB73" s="33">
        <f>MAX(AB2:AB68)</f>
        <v>7.1</v>
      </c>
      <c r="AC73" s="33"/>
      <c r="AD73" s="33">
        <f>MAX(AD2:AD59)</f>
        <v>62</v>
      </c>
      <c r="AE73" s="33"/>
      <c r="AF73" s="33">
        <f>MAX(AF2:AF68)</f>
        <v>111</v>
      </c>
      <c r="AG73" s="33"/>
      <c r="AH73" s="33">
        <f>MAX(AH2:AH68)</f>
        <v>17.5</v>
      </c>
      <c r="AI73" s="33"/>
      <c r="AJ73" s="33">
        <f>MAX(AJ2:AJ68)</f>
        <v>60</v>
      </c>
      <c r="AK73" s="33"/>
      <c r="AL73" s="33"/>
      <c r="AM73" s="33"/>
      <c r="AN73" s="33"/>
    </row>
    <row r="74" spans="1:40" x14ac:dyDescent="0.25">
      <c r="A74" s="56"/>
      <c r="B74" s="33"/>
      <c r="C74" s="33"/>
      <c r="D74" s="33">
        <f>MIN(D2:D68)</f>
        <v>1</v>
      </c>
      <c r="E74" s="33"/>
      <c r="F74" s="33">
        <f>MIN(F2:F68)</f>
        <v>1</v>
      </c>
      <c r="G74" s="33"/>
      <c r="H74" s="33"/>
      <c r="I74" s="33">
        <f>MIN(I2:I59)</f>
        <v>45.1</v>
      </c>
      <c r="J74" s="33">
        <f>MIN(J2:J59)</f>
        <v>49.5</v>
      </c>
      <c r="K74" s="33">
        <f>MIN(K2:K59)</f>
        <v>64.099999999999994</v>
      </c>
      <c r="L74" s="33">
        <f>MIN(L2:L59)</f>
        <v>74.400000000000006</v>
      </c>
      <c r="M74" s="33">
        <f>MIN(M2:M59)</f>
        <v>1</v>
      </c>
      <c r="N74" s="33"/>
      <c r="O74" s="33"/>
      <c r="P74" s="33">
        <f>MIN(P2:P68)</f>
        <v>0</v>
      </c>
      <c r="Q74" s="33"/>
      <c r="R74" s="33">
        <f>MIN(R2:R68)</f>
        <v>2</v>
      </c>
      <c r="S74" s="33"/>
      <c r="T74" s="33">
        <f>MIN(T2:T68)</f>
        <v>1</v>
      </c>
      <c r="U74" s="33"/>
      <c r="V74" s="33">
        <f>MIN(V2:V68)</f>
        <v>0</v>
      </c>
      <c r="W74" s="33"/>
      <c r="X74" s="33">
        <f>MIN(X2:X68)</f>
        <v>0</v>
      </c>
      <c r="Y74" s="33"/>
      <c r="Z74" s="33">
        <f>MIN(Z2:Z68)</f>
        <v>1</v>
      </c>
      <c r="AA74" s="33"/>
      <c r="AB74" s="33">
        <f>MIN(AB2:AB68)</f>
        <v>0</v>
      </c>
      <c r="AC74" s="33"/>
      <c r="AD74" s="33">
        <f>MIN(AD2:AD59)</f>
        <v>0</v>
      </c>
      <c r="AE74" s="33"/>
      <c r="AF74" s="33">
        <f>MIN(AF2:AF68)</f>
        <v>1</v>
      </c>
      <c r="AG74" s="33"/>
      <c r="AH74" s="33">
        <f>MIN(AH2:AH68)</f>
        <v>0</v>
      </c>
      <c r="AI74" s="33"/>
      <c r="AJ74" s="33">
        <f>MIN(AJ2:AJ68)</f>
        <v>0</v>
      </c>
      <c r="AK74" s="33"/>
      <c r="AL74" s="33"/>
      <c r="AM74" s="33"/>
      <c r="AN74" s="33"/>
    </row>
    <row r="75" spans="1:40" x14ac:dyDescent="0.25">
      <c r="A75" s="56"/>
      <c r="B75" s="33" t="s">
        <v>610</v>
      </c>
      <c r="C75" s="33"/>
      <c r="D75" s="33"/>
      <c r="E75" s="33"/>
      <c r="F75" s="33">
        <f>F71+4*F72</f>
        <v>531.65864424140943</v>
      </c>
      <c r="G75" s="33"/>
      <c r="H75" s="33"/>
      <c r="I75" s="33">
        <f>I71-3*I72</f>
        <v>31.656907116594006</v>
      </c>
      <c r="J75" s="33">
        <f>J71-3*J72</f>
        <v>39.228949738508859</v>
      </c>
      <c r="K75" s="33">
        <f>K71-3*K72</f>
        <v>56.230933336077236</v>
      </c>
      <c r="L75" s="33">
        <f>L71-4*L72</f>
        <v>70.615363135543319</v>
      </c>
      <c r="M75" s="33">
        <f>M71+3*M72</f>
        <v>181.91286788928784</v>
      </c>
      <c r="N75" s="33"/>
      <c r="O75" s="33"/>
      <c r="P75" s="33">
        <f>P71-1.5*P72</f>
        <v>-2.3366481385305482</v>
      </c>
      <c r="Q75" s="33"/>
      <c r="R75" s="33">
        <f>R71-1.5*R72</f>
        <v>1.5495766756421716</v>
      </c>
      <c r="S75" s="33"/>
      <c r="T75" s="33">
        <f>T71+2.5*T72</f>
        <v>207.92057857108631</v>
      </c>
      <c r="U75" s="33"/>
      <c r="V75" s="33">
        <f>V71-1.5*V72</f>
        <v>-0.56729106705181653</v>
      </c>
      <c r="W75" s="33"/>
      <c r="X75" s="33">
        <f>X71-1.5*X72</f>
        <v>-1.3430938504989829</v>
      </c>
      <c r="Y75" s="33"/>
      <c r="Z75" s="33">
        <f>Z71+4*Z72</f>
        <v>190.66532895545697</v>
      </c>
      <c r="AA75" s="33"/>
      <c r="AB75" s="33">
        <f>AB71-1.5*AB72</f>
        <v>-0.23968235691100537</v>
      </c>
      <c r="AC75" s="33"/>
      <c r="AD75" s="33">
        <f>AD71-2*AD72</f>
        <v>-10.189381409635736</v>
      </c>
      <c r="AE75" s="33"/>
      <c r="AF75" s="33">
        <f>AF71+3*AF72</f>
        <v>162.87169941400762</v>
      </c>
      <c r="AG75" s="33"/>
      <c r="AH75" s="33">
        <f>AH71-1.5*AH72</f>
        <v>-2.137687311024099</v>
      </c>
      <c r="AI75" s="33"/>
      <c r="AJ75" s="33">
        <f>AJ71-1.5*AJ72</f>
        <v>-5.9449170131792766</v>
      </c>
      <c r="AK75" s="33"/>
      <c r="AL75" s="33"/>
      <c r="AM75" s="33"/>
      <c r="AN75" s="33"/>
    </row>
  </sheetData>
  <autoFilter ref="A1:AN70" xr:uid="{6A2D394F-0F32-4E83-9EA9-6B44A40D5C96}">
    <sortState ref="A2:AN73">
      <sortCondition ref="C1:C70"/>
    </sortState>
  </autoFilter>
  <sortState ref="A2:AN59">
    <sortCondition ref="F2:F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A184" workbookViewId="0">
      <selection activeCell="I194" sqref="I194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133" t="s">
        <v>359</v>
      </c>
      <c r="B1" s="133"/>
      <c r="C1" s="133"/>
      <c r="D1" s="133"/>
      <c r="E1" s="133"/>
      <c r="F1" s="133"/>
      <c r="H1" s="134" t="s">
        <v>360</v>
      </c>
      <c r="I1" s="134"/>
      <c r="J1" s="134"/>
      <c r="K1" s="134"/>
      <c r="L1" s="134"/>
      <c r="M1" s="134"/>
      <c r="O1" s="135" t="s">
        <v>361</v>
      </c>
      <c r="P1" s="135"/>
      <c r="Q1" s="135"/>
      <c r="R1" s="135"/>
      <c r="S1" s="135"/>
      <c r="T1" s="135"/>
      <c r="V1" s="136" t="s">
        <v>362</v>
      </c>
      <c r="W1" s="136"/>
      <c r="X1" s="136"/>
      <c r="Y1" s="136"/>
      <c r="Z1" s="136"/>
      <c r="AA1" s="136"/>
    </row>
    <row r="2" spans="1:27" x14ac:dyDescent="0.25">
      <c r="A2" s="1" t="s">
        <v>0</v>
      </c>
      <c r="B2" s="1" t="s">
        <v>363</v>
      </c>
      <c r="C2" s="1" t="s">
        <v>364</v>
      </c>
      <c r="D2" s="1" t="s">
        <v>365</v>
      </c>
      <c r="E2" s="1" t="s">
        <v>366</v>
      </c>
      <c r="F2" s="1" t="s">
        <v>367</v>
      </c>
      <c r="H2" s="30" t="s">
        <v>0</v>
      </c>
      <c r="I2" s="30" t="s">
        <v>368</v>
      </c>
      <c r="J2" s="30" t="s">
        <v>364</v>
      </c>
      <c r="K2" s="30" t="s">
        <v>365</v>
      </c>
      <c r="L2" s="30" t="s">
        <v>366</v>
      </c>
      <c r="M2" s="30" t="s">
        <v>367</v>
      </c>
      <c r="O2" s="31" t="s">
        <v>0</v>
      </c>
      <c r="P2" s="31" t="s">
        <v>368</v>
      </c>
      <c r="Q2" s="31" t="s">
        <v>364</v>
      </c>
      <c r="R2" s="31" t="s">
        <v>365</v>
      </c>
      <c r="S2" s="31" t="s">
        <v>366</v>
      </c>
      <c r="T2" s="31" t="s">
        <v>367</v>
      </c>
      <c r="V2" s="28" t="s">
        <v>0</v>
      </c>
      <c r="W2" s="28" t="s">
        <v>368</v>
      </c>
      <c r="X2" s="28" t="s">
        <v>364</v>
      </c>
      <c r="Y2" s="28" t="s">
        <v>365</v>
      </c>
      <c r="Z2" s="28" t="s">
        <v>366</v>
      </c>
      <c r="AA2" s="28" t="s">
        <v>367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120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117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369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122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370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371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201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118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372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122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115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373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373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374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118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375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201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373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376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376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117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377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122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378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379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120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119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118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380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373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381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382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383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379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118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380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115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346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384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119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385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386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123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351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110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375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110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387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120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387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388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389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390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123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391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378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392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201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225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79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120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119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351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347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393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378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110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394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79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395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396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375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351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397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387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398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399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108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389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126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400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401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117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347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402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79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348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122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380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123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349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79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387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350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349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403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351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124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404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346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113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379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405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389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406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352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380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384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402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353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117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391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407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390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408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377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400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409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410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398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123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411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411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412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413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414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415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201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416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417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418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409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354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369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419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125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420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421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383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126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418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422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423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424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350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124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425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426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427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108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428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429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430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431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379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401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430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355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432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407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388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433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434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357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418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356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108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435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420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357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436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125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437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402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438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425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113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358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121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420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439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225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440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397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441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423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418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121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442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443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225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121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444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445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446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447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448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112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375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389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378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408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407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441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124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449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442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119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450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451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452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453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454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352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455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400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391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456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126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399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457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458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459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460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461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401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462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419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463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391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453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464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407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420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395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465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466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428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115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126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467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468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371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469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470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471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472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473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441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471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431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382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474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475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382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476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416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471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395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455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403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477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397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478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479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480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384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419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473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481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482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483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484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485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400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354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465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462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383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402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486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487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112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425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488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124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388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489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475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414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449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443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406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484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108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125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474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490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125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491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492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493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483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383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470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494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115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495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480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492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496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384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497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498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499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439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500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460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501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487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502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490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423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481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446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503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485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357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425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504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415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505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431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506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507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435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508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426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509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510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377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417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511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512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411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513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437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488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467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110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464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514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409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515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510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386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427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403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447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516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113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396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517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497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518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519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520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422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521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522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423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523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113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524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469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525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526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512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517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121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527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112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479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392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528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529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448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530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464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460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522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531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399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490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459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518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388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514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486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506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386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477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532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381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470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533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474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405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534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494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535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536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498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468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537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441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500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472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452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411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410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538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450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539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540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541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424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542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348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505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29" t="s">
        <v>543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356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532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544</v>
      </c>
    </row>
    <row r="125" spans="1:27" x14ac:dyDescent="0.25">
      <c r="A125" s="2">
        <v>123</v>
      </c>
      <c r="B125" s="2" t="s">
        <v>545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546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547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548</v>
      </c>
    </row>
    <row r="126" spans="1:27" x14ac:dyDescent="0.25">
      <c r="A126" s="2">
        <v>124</v>
      </c>
      <c r="B126" s="2" t="s">
        <v>521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404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516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549</v>
      </c>
    </row>
    <row r="127" spans="1:27" x14ac:dyDescent="0.25">
      <c r="A127" s="2">
        <v>125</v>
      </c>
      <c r="B127" s="2" t="s">
        <v>528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409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535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446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353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550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551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525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552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412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553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554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429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555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556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451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519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557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558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559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560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433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386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512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513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561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470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475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480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560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504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562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437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533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401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516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477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498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419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563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439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564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357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501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505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435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565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436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531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547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414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536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430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498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540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447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566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464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112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567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459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568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382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475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569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462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557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570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403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571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479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358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473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542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559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572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573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431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574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551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455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575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576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479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494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519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539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568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468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577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472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465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578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508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430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579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580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460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399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461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462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444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502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487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406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469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538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415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553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515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463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581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453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582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583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406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395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572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564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453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480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584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585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510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377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586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487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465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584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512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424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587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574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588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355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514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492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497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589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503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372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445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590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591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577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484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527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456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563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535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592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59"/>
  <sheetViews>
    <sheetView topLeftCell="A26" workbookViewId="0">
      <selection activeCell="F26" sqref="F26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214</v>
      </c>
      <c r="F1" s="4" t="s">
        <v>215</v>
      </c>
      <c r="G1" s="1" t="s">
        <v>260</v>
      </c>
      <c r="H1" s="1" t="s">
        <v>268</v>
      </c>
      <c r="I1" s="1" t="s">
        <v>266</v>
      </c>
    </row>
    <row r="2" spans="1:9" x14ac:dyDescent="0.25">
      <c r="A2" s="2">
        <v>1</v>
      </c>
      <c r="B2" s="2" t="s">
        <v>65</v>
      </c>
      <c r="C2" s="2" t="s">
        <v>65</v>
      </c>
      <c r="D2" s="2" t="s">
        <v>74</v>
      </c>
      <c r="E2" s="12">
        <v>2040</v>
      </c>
      <c r="F2" s="2">
        <v>643</v>
      </c>
      <c r="G2" s="2">
        <f t="shared" ref="G2:G33" si="0">(E2+F2)/2</f>
        <v>1341.5</v>
      </c>
      <c r="H2" s="2">
        <f t="shared" ref="H2:H33" si="1">G2/$G$59</f>
        <v>0.23342613537497825</v>
      </c>
      <c r="I2" s="16" t="s">
        <v>264</v>
      </c>
    </row>
    <row r="3" spans="1:9" x14ac:dyDescent="0.25">
      <c r="A3" s="2">
        <v>2</v>
      </c>
      <c r="B3" s="2" t="s">
        <v>65</v>
      </c>
      <c r="C3" s="2" t="s">
        <v>73</v>
      </c>
      <c r="D3" s="2" t="s">
        <v>55</v>
      </c>
      <c r="E3" s="2">
        <v>46</v>
      </c>
      <c r="F3" s="2">
        <v>16</v>
      </c>
      <c r="G3" s="2">
        <f t="shared" si="0"/>
        <v>31</v>
      </c>
      <c r="H3" s="2">
        <f t="shared" si="1"/>
        <v>5.3941186706107534E-3</v>
      </c>
      <c r="I3" s="16" t="s">
        <v>267</v>
      </c>
    </row>
    <row r="4" spans="1:9" x14ac:dyDescent="0.25">
      <c r="A4" s="2">
        <v>3</v>
      </c>
      <c r="B4" s="2" t="s">
        <v>874</v>
      </c>
      <c r="C4" s="2" t="s">
        <v>835</v>
      </c>
      <c r="D4" s="2" t="s">
        <v>55</v>
      </c>
      <c r="E4" s="12">
        <v>1363</v>
      </c>
      <c r="F4" s="2">
        <v>468</v>
      </c>
      <c r="G4" s="2">
        <f t="shared" si="0"/>
        <v>915.5</v>
      </c>
      <c r="H4" s="2">
        <f t="shared" si="1"/>
        <v>0.15930050461110146</v>
      </c>
      <c r="I4" s="16" t="s">
        <v>267</v>
      </c>
    </row>
    <row r="5" spans="1:9" x14ac:dyDescent="0.25">
      <c r="A5" s="2">
        <v>4</v>
      </c>
      <c r="B5" s="2" t="s">
        <v>65</v>
      </c>
      <c r="C5" s="2" t="s">
        <v>57</v>
      </c>
      <c r="D5" s="2" t="s">
        <v>55</v>
      </c>
      <c r="E5" s="12">
        <v>3737</v>
      </c>
      <c r="F5" s="2">
        <v>847</v>
      </c>
      <c r="G5" s="2">
        <f t="shared" si="0"/>
        <v>2292</v>
      </c>
      <c r="H5" s="2">
        <f t="shared" si="1"/>
        <v>0.39881677396902732</v>
      </c>
      <c r="I5" s="16" t="s">
        <v>267</v>
      </c>
    </row>
    <row r="6" spans="1:9" x14ac:dyDescent="0.25">
      <c r="A6" s="2">
        <v>5</v>
      </c>
      <c r="B6" s="2" t="s">
        <v>132</v>
      </c>
      <c r="C6" s="2" t="s">
        <v>60</v>
      </c>
      <c r="D6" s="2" t="s">
        <v>55</v>
      </c>
      <c r="E6" s="2">
        <v>50</v>
      </c>
      <c r="F6" s="2">
        <v>10</v>
      </c>
      <c r="G6" s="2">
        <f t="shared" si="0"/>
        <v>30</v>
      </c>
      <c r="H6" s="2">
        <f t="shared" si="1"/>
        <v>5.2201148425265352E-3</v>
      </c>
      <c r="I6" s="16" t="s">
        <v>267</v>
      </c>
    </row>
    <row r="7" spans="1:9" x14ac:dyDescent="0.25">
      <c r="A7" s="2">
        <v>6</v>
      </c>
      <c r="B7" s="2" t="s">
        <v>147</v>
      </c>
      <c r="C7" s="2" t="s">
        <v>135</v>
      </c>
      <c r="D7" s="2" t="s">
        <v>55</v>
      </c>
      <c r="E7" s="2">
        <v>576</v>
      </c>
      <c r="F7" s="2">
        <v>108</v>
      </c>
      <c r="G7" s="2">
        <f t="shared" si="0"/>
        <v>342</v>
      </c>
      <c r="H7" s="2">
        <f t="shared" si="1"/>
        <v>5.9509309204802505E-2</v>
      </c>
      <c r="I7" s="16" t="s">
        <v>267</v>
      </c>
    </row>
    <row r="8" spans="1:9" x14ac:dyDescent="0.25">
      <c r="A8" s="2">
        <v>7</v>
      </c>
      <c r="B8" s="2" t="s">
        <v>67</v>
      </c>
      <c r="C8" s="2" t="s">
        <v>66</v>
      </c>
      <c r="D8" s="2" t="s">
        <v>55</v>
      </c>
      <c r="E8" s="12">
        <v>2671</v>
      </c>
      <c r="F8" s="2">
        <v>439</v>
      </c>
      <c r="G8" s="2">
        <f t="shared" si="0"/>
        <v>1555</v>
      </c>
      <c r="H8" s="2">
        <f t="shared" si="1"/>
        <v>0.27057595267095874</v>
      </c>
      <c r="I8" s="16" t="s">
        <v>267</v>
      </c>
    </row>
    <row r="9" spans="1:9" x14ac:dyDescent="0.25">
      <c r="A9" s="2">
        <v>8</v>
      </c>
      <c r="B9" s="2" t="s">
        <v>134</v>
      </c>
      <c r="C9" s="2" t="s">
        <v>82</v>
      </c>
      <c r="D9" s="2" t="s">
        <v>55</v>
      </c>
      <c r="E9" s="12">
        <v>2451</v>
      </c>
      <c r="F9" s="12">
        <v>1030</v>
      </c>
      <c r="G9" s="2">
        <f t="shared" si="0"/>
        <v>1740.5</v>
      </c>
      <c r="H9" s="2">
        <f t="shared" si="1"/>
        <v>0.30285366278058118</v>
      </c>
      <c r="I9" s="16" t="s">
        <v>267</v>
      </c>
    </row>
    <row r="10" spans="1:9" x14ac:dyDescent="0.25">
      <c r="A10" s="2">
        <v>9</v>
      </c>
      <c r="B10" s="2" t="s">
        <v>149</v>
      </c>
      <c r="C10" s="2" t="s">
        <v>127</v>
      </c>
      <c r="D10" s="2" t="s">
        <v>55</v>
      </c>
      <c r="E10" s="12">
        <v>3412</v>
      </c>
      <c r="F10" s="2">
        <v>406</v>
      </c>
      <c r="G10" s="2">
        <f t="shared" si="0"/>
        <v>1909</v>
      </c>
      <c r="H10" s="2">
        <f t="shared" si="1"/>
        <v>0.33217330781277188</v>
      </c>
      <c r="I10" s="16" t="s">
        <v>267</v>
      </c>
    </row>
    <row r="11" spans="1:9" x14ac:dyDescent="0.25">
      <c r="A11" s="2">
        <v>10</v>
      </c>
      <c r="B11" s="2" t="s">
        <v>99</v>
      </c>
      <c r="C11" s="2" t="s">
        <v>94</v>
      </c>
      <c r="D11" s="2" t="s">
        <v>55</v>
      </c>
      <c r="E11" s="12">
        <v>5256</v>
      </c>
      <c r="F11" s="12">
        <v>2410</v>
      </c>
      <c r="G11" s="2">
        <f t="shared" si="0"/>
        <v>3833</v>
      </c>
      <c r="H11" s="2">
        <f t="shared" si="1"/>
        <v>0.66695667304680706</v>
      </c>
      <c r="I11" s="16" t="s">
        <v>267</v>
      </c>
    </row>
    <row r="12" spans="1:9" x14ac:dyDescent="0.25">
      <c r="A12" s="2">
        <v>11</v>
      </c>
      <c r="B12" s="2" t="s">
        <v>141</v>
      </c>
      <c r="C12" s="2" t="s">
        <v>60</v>
      </c>
      <c r="D12" s="2" t="s">
        <v>55</v>
      </c>
      <c r="E12" s="12">
        <v>4317</v>
      </c>
      <c r="F12" s="12">
        <v>2292</v>
      </c>
      <c r="G12" s="2">
        <f t="shared" si="0"/>
        <v>3304.5</v>
      </c>
      <c r="H12" s="2">
        <f t="shared" si="1"/>
        <v>0.57499564990429786</v>
      </c>
      <c r="I12" s="16" t="s">
        <v>267</v>
      </c>
    </row>
    <row r="13" spans="1:9" x14ac:dyDescent="0.25">
      <c r="A13" s="2">
        <v>12</v>
      </c>
      <c r="B13" s="2" t="s">
        <v>837</v>
      </c>
      <c r="C13" s="2" t="s">
        <v>836</v>
      </c>
      <c r="D13" s="2" t="s">
        <v>55</v>
      </c>
      <c r="E13" s="12">
        <v>1507</v>
      </c>
      <c r="F13" s="2">
        <v>680</v>
      </c>
      <c r="G13" s="2">
        <f t="shared" si="0"/>
        <v>1093.5</v>
      </c>
      <c r="H13" s="2">
        <f t="shared" si="1"/>
        <v>0.19027318601009222</v>
      </c>
      <c r="I13" s="16" t="s">
        <v>267</v>
      </c>
    </row>
    <row r="14" spans="1:9" x14ac:dyDescent="0.25">
      <c r="A14" s="2">
        <v>13</v>
      </c>
      <c r="B14" s="2" t="s">
        <v>59</v>
      </c>
      <c r="C14" s="2" t="s">
        <v>60</v>
      </c>
      <c r="D14" s="2" t="s">
        <v>55</v>
      </c>
      <c r="E14" s="12">
        <v>4391</v>
      </c>
      <c r="F14" s="12">
        <v>2312</v>
      </c>
      <c r="G14" s="2">
        <f t="shared" si="0"/>
        <v>3351.5</v>
      </c>
      <c r="H14" s="2">
        <f t="shared" si="1"/>
        <v>0.58317382982425614</v>
      </c>
      <c r="I14" s="16" t="s">
        <v>267</v>
      </c>
    </row>
    <row r="15" spans="1:9" x14ac:dyDescent="0.25">
      <c r="A15" s="2">
        <v>14</v>
      </c>
      <c r="B15" s="2" t="s">
        <v>129</v>
      </c>
      <c r="C15" s="2" t="s">
        <v>70</v>
      </c>
      <c r="D15" s="2" t="s">
        <v>55</v>
      </c>
      <c r="E15" s="2">
        <v>791</v>
      </c>
      <c r="F15" s="2">
        <v>304</v>
      </c>
      <c r="G15" s="2">
        <f t="shared" si="0"/>
        <v>547.5</v>
      </c>
      <c r="H15" s="2">
        <f t="shared" si="1"/>
        <v>9.5267095876109278E-2</v>
      </c>
      <c r="I15" s="16" t="s">
        <v>267</v>
      </c>
    </row>
    <row r="16" spans="1:9" x14ac:dyDescent="0.25">
      <c r="A16" s="2">
        <v>15</v>
      </c>
      <c r="B16" s="2" t="s">
        <v>91</v>
      </c>
      <c r="C16" s="2" t="s">
        <v>73</v>
      </c>
      <c r="D16" s="2" t="s">
        <v>55</v>
      </c>
      <c r="E16" s="12">
        <v>2909</v>
      </c>
      <c r="F16" s="2">
        <v>703</v>
      </c>
      <c r="G16" s="2">
        <f t="shared" si="0"/>
        <v>1806</v>
      </c>
      <c r="H16" s="2">
        <f t="shared" si="1"/>
        <v>0.31425091352009743</v>
      </c>
      <c r="I16" s="16" t="s">
        <v>267</v>
      </c>
    </row>
    <row r="17" spans="1:9" x14ac:dyDescent="0.25">
      <c r="A17" s="2">
        <v>16</v>
      </c>
      <c r="B17" s="2" t="s">
        <v>846</v>
      </c>
      <c r="C17" s="2" t="s">
        <v>127</v>
      </c>
      <c r="D17" s="2" t="s">
        <v>55</v>
      </c>
      <c r="E17" s="12">
        <v>9413</v>
      </c>
      <c r="F17" s="12">
        <v>2027</v>
      </c>
      <c r="G17" s="2">
        <f t="shared" si="0"/>
        <v>5720</v>
      </c>
      <c r="H17" s="2">
        <f t="shared" si="1"/>
        <v>0.99530189664172608</v>
      </c>
      <c r="I17" s="16" t="s">
        <v>267</v>
      </c>
    </row>
    <row r="18" spans="1:9" x14ac:dyDescent="0.25">
      <c r="A18" s="2">
        <v>17</v>
      </c>
      <c r="B18" s="2" t="s">
        <v>83</v>
      </c>
      <c r="C18" s="2" t="s">
        <v>82</v>
      </c>
      <c r="D18" s="2" t="s">
        <v>55</v>
      </c>
      <c r="E18" s="2">
        <v>10</v>
      </c>
      <c r="F18" s="2">
        <v>7</v>
      </c>
      <c r="G18" s="2">
        <f t="shared" si="0"/>
        <v>8.5</v>
      </c>
      <c r="H18" s="2">
        <f t="shared" si="1"/>
        <v>1.4790325387158518E-3</v>
      </c>
      <c r="I18" s="16" t="s">
        <v>267</v>
      </c>
    </row>
    <row r="19" spans="1:9" x14ac:dyDescent="0.25">
      <c r="A19" s="2">
        <v>18</v>
      </c>
      <c r="B19" s="2" t="s">
        <v>76</v>
      </c>
      <c r="C19" s="2" t="s">
        <v>75</v>
      </c>
      <c r="D19" s="2" t="s">
        <v>55</v>
      </c>
      <c r="E19" s="2">
        <v>688</v>
      </c>
      <c r="F19" s="2">
        <v>147</v>
      </c>
      <c r="G19" s="2">
        <f t="shared" si="0"/>
        <v>417.5</v>
      </c>
      <c r="H19" s="2">
        <f t="shared" si="1"/>
        <v>7.2646598225160952E-2</v>
      </c>
      <c r="I19" s="16" t="s">
        <v>267</v>
      </c>
    </row>
    <row r="20" spans="1:9" x14ac:dyDescent="0.25">
      <c r="A20" s="2">
        <v>19</v>
      </c>
      <c r="B20" s="2" t="s">
        <v>78</v>
      </c>
      <c r="C20" s="2" t="s">
        <v>77</v>
      </c>
      <c r="D20" s="2" t="s">
        <v>55</v>
      </c>
      <c r="E20" s="2">
        <v>16</v>
      </c>
      <c r="F20" s="2">
        <v>23</v>
      </c>
      <c r="G20" s="2">
        <f t="shared" si="0"/>
        <v>19.5</v>
      </c>
      <c r="H20" s="2">
        <f t="shared" si="1"/>
        <v>3.3930746476422483E-3</v>
      </c>
      <c r="I20" s="16" t="s">
        <v>267</v>
      </c>
    </row>
    <row r="21" spans="1:9" x14ac:dyDescent="0.25">
      <c r="A21" s="2">
        <v>20</v>
      </c>
      <c r="B21" s="2" t="s">
        <v>128</v>
      </c>
      <c r="C21" s="2" t="s">
        <v>94</v>
      </c>
      <c r="D21" s="2" t="s">
        <v>55</v>
      </c>
      <c r="E21" s="2">
        <v>211</v>
      </c>
      <c r="F21" s="2">
        <v>77</v>
      </c>
      <c r="G21" s="2">
        <f t="shared" si="0"/>
        <v>144</v>
      </c>
      <c r="H21" s="2">
        <f t="shared" si="1"/>
        <v>2.5056551244127371E-2</v>
      </c>
      <c r="I21" s="16" t="s">
        <v>267</v>
      </c>
    </row>
    <row r="22" spans="1:9" x14ac:dyDescent="0.25">
      <c r="A22" s="2">
        <v>21</v>
      </c>
      <c r="B22" s="2" t="s">
        <v>85</v>
      </c>
      <c r="C22" s="2" t="s">
        <v>65</v>
      </c>
      <c r="D22" s="2" t="s">
        <v>84</v>
      </c>
      <c r="E22" s="12">
        <v>1273</v>
      </c>
      <c r="F22" s="2">
        <v>249</v>
      </c>
      <c r="G22" s="2">
        <f t="shared" si="0"/>
        <v>761</v>
      </c>
      <c r="H22" s="2">
        <f t="shared" si="1"/>
        <v>0.13241691317208978</v>
      </c>
      <c r="I22" s="16" t="s">
        <v>263</v>
      </c>
    </row>
    <row r="23" spans="1:9" x14ac:dyDescent="0.25">
      <c r="A23" s="2">
        <v>22</v>
      </c>
      <c r="B23" s="2" t="s">
        <v>148</v>
      </c>
      <c r="C23" s="2" t="s">
        <v>70</v>
      </c>
      <c r="D23" s="2" t="s">
        <v>55</v>
      </c>
      <c r="E23" s="12">
        <v>1292</v>
      </c>
      <c r="F23" s="2">
        <v>389</v>
      </c>
      <c r="G23" s="2">
        <f t="shared" si="0"/>
        <v>840.5</v>
      </c>
      <c r="H23" s="2">
        <f t="shared" si="1"/>
        <v>0.14625021750478512</v>
      </c>
      <c r="I23" s="16" t="s">
        <v>267</v>
      </c>
    </row>
    <row r="24" spans="1:9" x14ac:dyDescent="0.25">
      <c r="A24" s="2">
        <v>23</v>
      </c>
      <c r="B24" s="2" t="s">
        <v>138</v>
      </c>
      <c r="C24" s="2" t="s">
        <v>135</v>
      </c>
      <c r="D24" s="2" t="s">
        <v>55</v>
      </c>
      <c r="E24" s="2">
        <v>105</v>
      </c>
      <c r="F24" s="2">
        <v>17</v>
      </c>
      <c r="G24" s="2">
        <f t="shared" si="0"/>
        <v>61</v>
      </c>
      <c r="H24" s="2">
        <f t="shared" si="1"/>
        <v>1.0614233513137289E-2</v>
      </c>
      <c r="I24" s="16" t="s">
        <v>267</v>
      </c>
    </row>
    <row r="25" spans="1:9" x14ac:dyDescent="0.25">
      <c r="A25" s="2">
        <v>24</v>
      </c>
      <c r="B25" s="2" t="s">
        <v>72</v>
      </c>
      <c r="C25" s="2" t="s">
        <v>73</v>
      </c>
      <c r="D25" s="2" t="s">
        <v>55</v>
      </c>
      <c r="E25" s="12">
        <v>3098</v>
      </c>
      <c r="F25" s="2">
        <v>758</v>
      </c>
      <c r="G25" s="2">
        <f t="shared" si="0"/>
        <v>1928</v>
      </c>
      <c r="H25" s="2">
        <f t="shared" si="1"/>
        <v>0.335479380546372</v>
      </c>
      <c r="I25" s="16" t="s">
        <v>267</v>
      </c>
    </row>
    <row r="26" spans="1:9" x14ac:dyDescent="0.25">
      <c r="A26" s="2">
        <v>25</v>
      </c>
      <c r="B26" s="2" t="s">
        <v>95</v>
      </c>
      <c r="C26" s="2" t="s">
        <v>92</v>
      </c>
      <c r="D26" s="2" t="s">
        <v>55</v>
      </c>
      <c r="E26" s="2">
        <v>46</v>
      </c>
      <c r="F26" s="2">
        <v>20</v>
      </c>
      <c r="G26" s="2">
        <f t="shared" si="0"/>
        <v>33</v>
      </c>
      <c r="H26" s="2">
        <f t="shared" si="1"/>
        <v>5.742126326779189E-3</v>
      </c>
      <c r="I26" s="16" t="s">
        <v>267</v>
      </c>
    </row>
    <row r="27" spans="1:9" x14ac:dyDescent="0.25">
      <c r="A27" s="2">
        <v>26</v>
      </c>
      <c r="B27" s="2" t="s">
        <v>139</v>
      </c>
      <c r="C27" s="2" t="s">
        <v>82</v>
      </c>
      <c r="D27" s="2" t="s">
        <v>55</v>
      </c>
      <c r="E27" s="12">
        <v>1112</v>
      </c>
      <c r="F27" s="2">
        <v>299</v>
      </c>
      <c r="G27" s="2">
        <f t="shared" si="0"/>
        <v>705.5</v>
      </c>
      <c r="H27" s="2">
        <f t="shared" si="1"/>
        <v>0.1227597007134157</v>
      </c>
      <c r="I27" s="16" t="s">
        <v>267</v>
      </c>
    </row>
    <row r="28" spans="1:9" x14ac:dyDescent="0.25">
      <c r="A28" s="2">
        <v>27</v>
      </c>
      <c r="B28" s="2" t="s">
        <v>88</v>
      </c>
      <c r="C28" s="2" t="s">
        <v>94</v>
      </c>
      <c r="D28" s="2" t="s">
        <v>55</v>
      </c>
      <c r="E28" s="12">
        <v>1279</v>
      </c>
      <c r="F28" s="2">
        <v>297</v>
      </c>
      <c r="G28" s="2">
        <f t="shared" si="0"/>
        <v>788</v>
      </c>
      <c r="H28" s="2">
        <f t="shared" si="1"/>
        <v>0.13711501653036368</v>
      </c>
      <c r="I28" s="16" t="s">
        <v>267</v>
      </c>
    </row>
    <row r="29" spans="1:9" x14ac:dyDescent="0.25">
      <c r="A29" s="2">
        <v>28</v>
      </c>
      <c r="B29" s="2" t="s">
        <v>144</v>
      </c>
      <c r="C29" s="2" t="s">
        <v>68</v>
      </c>
      <c r="D29" s="2" t="s">
        <v>55</v>
      </c>
      <c r="E29" s="2">
        <v>40</v>
      </c>
      <c r="F29" s="2">
        <v>17</v>
      </c>
      <c r="G29" s="2">
        <f t="shared" si="0"/>
        <v>28.5</v>
      </c>
      <c r="H29" s="2">
        <f t="shared" si="1"/>
        <v>4.9591091004002087E-3</v>
      </c>
      <c r="I29" s="16" t="s">
        <v>267</v>
      </c>
    </row>
    <row r="30" spans="1:9" x14ac:dyDescent="0.25">
      <c r="A30" s="2">
        <v>29</v>
      </c>
      <c r="B30" s="2" t="s">
        <v>100</v>
      </c>
      <c r="C30" s="2" t="s">
        <v>65</v>
      </c>
      <c r="D30" s="2" t="s">
        <v>63</v>
      </c>
      <c r="E30" s="2">
        <v>42</v>
      </c>
      <c r="F30" s="2">
        <v>28</v>
      </c>
      <c r="G30" s="2">
        <f t="shared" si="0"/>
        <v>35</v>
      </c>
      <c r="H30" s="2">
        <f t="shared" si="1"/>
        <v>6.0901339829476245E-3</v>
      </c>
      <c r="I30" s="16" t="s">
        <v>262</v>
      </c>
    </row>
    <row r="31" spans="1:9" x14ac:dyDescent="0.25">
      <c r="A31" s="2">
        <v>30</v>
      </c>
      <c r="B31" s="2" t="s">
        <v>45</v>
      </c>
      <c r="C31" s="2" t="s">
        <v>65</v>
      </c>
      <c r="D31" s="2" t="s">
        <v>97</v>
      </c>
      <c r="E31" s="12">
        <v>6814</v>
      </c>
      <c r="F31" s="12">
        <v>1847</v>
      </c>
      <c r="G31" s="2">
        <f t="shared" si="0"/>
        <v>4330.5</v>
      </c>
      <c r="H31" s="2">
        <f t="shared" si="1"/>
        <v>0.75352357751870536</v>
      </c>
      <c r="I31" s="16" t="s">
        <v>265</v>
      </c>
    </row>
    <row r="32" spans="1:9" x14ac:dyDescent="0.25">
      <c r="A32" s="2">
        <v>31</v>
      </c>
      <c r="B32" s="2" t="s">
        <v>140</v>
      </c>
      <c r="C32" s="2" t="s">
        <v>94</v>
      </c>
      <c r="D32" s="2" t="s">
        <v>55</v>
      </c>
      <c r="E32" s="12">
        <v>2746</v>
      </c>
      <c r="F32" s="2">
        <v>857</v>
      </c>
      <c r="G32" s="2">
        <f t="shared" si="0"/>
        <v>1801.5</v>
      </c>
      <c r="H32" s="2">
        <f t="shared" si="1"/>
        <v>0.31346789629371846</v>
      </c>
      <c r="I32" s="16" t="s">
        <v>267</v>
      </c>
    </row>
    <row r="33" spans="1:9" x14ac:dyDescent="0.25">
      <c r="A33" s="2">
        <v>32</v>
      </c>
      <c r="B33" s="2" t="s">
        <v>131</v>
      </c>
      <c r="C33" s="2" t="s">
        <v>130</v>
      </c>
      <c r="D33" s="2" t="s">
        <v>55</v>
      </c>
      <c r="E33" s="2">
        <v>257</v>
      </c>
      <c r="F33" s="2">
        <v>111</v>
      </c>
      <c r="G33" s="2">
        <f t="shared" si="0"/>
        <v>184</v>
      </c>
      <c r="H33" s="2">
        <f t="shared" si="1"/>
        <v>3.2016704367496082E-2</v>
      </c>
      <c r="I33" s="16" t="s">
        <v>267</v>
      </c>
    </row>
    <row r="34" spans="1:9" x14ac:dyDescent="0.25">
      <c r="A34" s="2">
        <v>33</v>
      </c>
      <c r="B34" s="2" t="s">
        <v>206</v>
      </c>
      <c r="C34" s="2" t="s">
        <v>205</v>
      </c>
      <c r="D34" s="2" t="s">
        <v>55</v>
      </c>
      <c r="E34" s="12">
        <v>1421</v>
      </c>
      <c r="F34" s="2">
        <v>243</v>
      </c>
      <c r="G34" s="2">
        <f t="shared" ref="G34:G58" si="2">(E34+F34)/2</f>
        <v>832</v>
      </c>
      <c r="H34" s="2">
        <f t="shared" ref="H34:H58" si="3">G34/$G$59</f>
        <v>0.14477118496606925</v>
      </c>
      <c r="I34" s="16" t="s">
        <v>267</v>
      </c>
    </row>
    <row r="35" spans="1:9" x14ac:dyDescent="0.25">
      <c r="A35" s="2">
        <v>34</v>
      </c>
      <c r="B35" s="2" t="s">
        <v>101</v>
      </c>
      <c r="C35" s="2" t="s">
        <v>65</v>
      </c>
      <c r="D35" s="2" t="s">
        <v>102</v>
      </c>
      <c r="E35" s="2">
        <v>714</v>
      </c>
      <c r="F35" s="2">
        <v>188</v>
      </c>
      <c r="G35" s="2">
        <f t="shared" si="2"/>
        <v>451</v>
      </c>
      <c r="H35" s="2">
        <f t="shared" si="3"/>
        <v>7.8475726465982248E-2</v>
      </c>
      <c r="I35" s="16" t="s">
        <v>267</v>
      </c>
    </row>
    <row r="36" spans="1:9" x14ac:dyDescent="0.25">
      <c r="A36" s="2">
        <v>35</v>
      </c>
      <c r="B36" s="2" t="s">
        <v>839</v>
      </c>
      <c r="C36" s="2" t="s">
        <v>142</v>
      </c>
      <c r="D36" s="2" t="s">
        <v>55</v>
      </c>
      <c r="E36" s="12">
        <v>1258</v>
      </c>
      <c r="F36" s="2">
        <v>819</v>
      </c>
      <c r="G36" s="2">
        <f t="shared" si="2"/>
        <v>1038.5</v>
      </c>
      <c r="H36" s="2">
        <f t="shared" si="3"/>
        <v>0.18070297546546024</v>
      </c>
      <c r="I36" s="16" t="s">
        <v>267</v>
      </c>
    </row>
    <row r="37" spans="1:9" x14ac:dyDescent="0.25">
      <c r="A37" s="2">
        <v>36</v>
      </c>
      <c r="B37" s="2" t="s">
        <v>146</v>
      </c>
      <c r="C37" s="2" t="s">
        <v>145</v>
      </c>
      <c r="D37" s="2" t="s">
        <v>55</v>
      </c>
      <c r="E37" s="2">
        <v>201</v>
      </c>
      <c r="F37" s="2">
        <v>90</v>
      </c>
      <c r="G37" s="2">
        <f t="shared" si="2"/>
        <v>145.5</v>
      </c>
      <c r="H37" s="2">
        <f t="shared" si="3"/>
        <v>2.5317556986253698E-2</v>
      </c>
      <c r="I37" s="16" t="s">
        <v>267</v>
      </c>
    </row>
    <row r="38" spans="1:9" x14ac:dyDescent="0.25">
      <c r="A38" s="2">
        <v>37</v>
      </c>
      <c r="B38" s="2" t="s">
        <v>69</v>
      </c>
      <c r="C38" s="2" t="s">
        <v>68</v>
      </c>
      <c r="D38" s="2" t="s">
        <v>55</v>
      </c>
      <c r="E38" s="12">
        <v>6805</v>
      </c>
      <c r="F38" s="12">
        <v>2531</v>
      </c>
      <c r="G38" s="2">
        <f t="shared" si="2"/>
        <v>4668</v>
      </c>
      <c r="H38" s="2">
        <f t="shared" si="3"/>
        <v>0.81224986949712896</v>
      </c>
      <c r="I38" s="16" t="s">
        <v>267</v>
      </c>
    </row>
    <row r="39" spans="1:9" x14ac:dyDescent="0.25">
      <c r="A39" s="2">
        <v>38</v>
      </c>
      <c r="B39" s="2" t="s">
        <v>834</v>
      </c>
      <c r="C39" s="2" t="s">
        <v>92</v>
      </c>
      <c r="D39" s="2" t="s">
        <v>55</v>
      </c>
      <c r="E39" s="2">
        <v>636</v>
      </c>
      <c r="F39" s="2">
        <v>78</v>
      </c>
      <c r="G39" s="2">
        <f t="shared" si="2"/>
        <v>357</v>
      </c>
      <c r="H39" s="2">
        <f t="shared" si="3"/>
        <v>6.2119366626065771E-2</v>
      </c>
      <c r="I39" s="16" t="s">
        <v>267</v>
      </c>
    </row>
    <row r="40" spans="1:9" x14ac:dyDescent="0.25">
      <c r="A40" s="2">
        <v>39</v>
      </c>
      <c r="B40" s="2" t="s">
        <v>93</v>
      </c>
      <c r="C40" s="2" t="s">
        <v>65</v>
      </c>
      <c r="D40" s="2" t="s">
        <v>97</v>
      </c>
      <c r="E40" s="2">
        <v>679</v>
      </c>
      <c r="F40" s="2">
        <v>288</v>
      </c>
      <c r="G40" s="2">
        <f t="shared" si="2"/>
        <v>483.5</v>
      </c>
      <c r="H40" s="2">
        <f t="shared" si="3"/>
        <v>8.4130850878719327E-2</v>
      </c>
      <c r="I40" s="16" t="s">
        <v>265</v>
      </c>
    </row>
    <row r="41" spans="1:9" x14ac:dyDescent="0.25">
      <c r="A41" s="2">
        <v>40</v>
      </c>
      <c r="B41" s="2" t="s">
        <v>96</v>
      </c>
      <c r="C41" s="2" t="s">
        <v>94</v>
      </c>
      <c r="D41" s="2" t="s">
        <v>55</v>
      </c>
      <c r="E41" s="12">
        <v>2515</v>
      </c>
      <c r="F41" s="2">
        <v>806</v>
      </c>
      <c r="G41" s="2">
        <f t="shared" si="2"/>
        <v>1660.5</v>
      </c>
      <c r="H41" s="2">
        <f t="shared" si="3"/>
        <v>0.28893335653384372</v>
      </c>
      <c r="I41" s="16" t="s">
        <v>267</v>
      </c>
    </row>
    <row r="42" spans="1:9" x14ac:dyDescent="0.25">
      <c r="A42" s="2">
        <v>41</v>
      </c>
      <c r="B42" s="2" t="s">
        <v>103</v>
      </c>
      <c r="C42" s="2" t="s">
        <v>57</v>
      </c>
      <c r="D42" s="2" t="s">
        <v>55</v>
      </c>
      <c r="E42" s="12">
        <v>2255</v>
      </c>
      <c r="F42" s="2">
        <v>617</v>
      </c>
      <c r="G42" s="2">
        <f t="shared" si="2"/>
        <v>1436</v>
      </c>
      <c r="H42" s="2">
        <f t="shared" si="3"/>
        <v>0.24986949712893683</v>
      </c>
      <c r="I42" s="16" t="s">
        <v>267</v>
      </c>
    </row>
    <row r="43" spans="1:9" x14ac:dyDescent="0.25">
      <c r="A43" s="2">
        <v>42</v>
      </c>
      <c r="B43" s="2" t="s">
        <v>58</v>
      </c>
      <c r="C43" s="2" t="s">
        <v>57</v>
      </c>
      <c r="D43" s="2" t="s">
        <v>55</v>
      </c>
      <c r="E43" s="12">
        <v>1088</v>
      </c>
      <c r="F43" s="12">
        <v>169</v>
      </c>
      <c r="G43" s="2">
        <f t="shared" si="2"/>
        <v>628.5</v>
      </c>
      <c r="H43" s="2">
        <f t="shared" si="3"/>
        <v>0.10936140595093093</v>
      </c>
      <c r="I43" s="16" t="s">
        <v>267</v>
      </c>
    </row>
    <row r="44" spans="1:9" x14ac:dyDescent="0.25">
      <c r="A44" s="2">
        <v>43</v>
      </c>
      <c r="B44" s="2" t="s">
        <v>137</v>
      </c>
      <c r="C44" s="2" t="s">
        <v>142</v>
      </c>
      <c r="D44" s="2" t="s">
        <v>55</v>
      </c>
      <c r="E44" s="2">
        <v>785</v>
      </c>
      <c r="F44" s="2">
        <v>582</v>
      </c>
      <c r="G44" s="2">
        <f t="shared" si="2"/>
        <v>683.5</v>
      </c>
      <c r="H44" s="2">
        <f t="shared" si="3"/>
        <v>0.1189316164955629</v>
      </c>
      <c r="I44" s="16" t="s">
        <v>267</v>
      </c>
    </row>
    <row r="45" spans="1:9" x14ac:dyDescent="0.25">
      <c r="A45" s="2">
        <v>44</v>
      </c>
      <c r="B45" s="2" t="s">
        <v>847</v>
      </c>
      <c r="C45" s="2" t="s">
        <v>136</v>
      </c>
      <c r="D45" s="2" t="s">
        <v>55</v>
      </c>
      <c r="E45" s="2">
        <v>251</v>
      </c>
      <c r="F45" s="2">
        <v>44</v>
      </c>
      <c r="G45" s="2">
        <f t="shared" si="2"/>
        <v>147.5</v>
      </c>
      <c r="H45" s="2">
        <f t="shared" si="3"/>
        <v>2.5665564642422135E-2</v>
      </c>
      <c r="I45" s="16" t="s">
        <v>267</v>
      </c>
    </row>
    <row r="46" spans="1:9" x14ac:dyDescent="0.25">
      <c r="A46" s="2">
        <v>45</v>
      </c>
      <c r="B46" s="2" t="s">
        <v>71</v>
      </c>
      <c r="C46" s="2" t="s">
        <v>70</v>
      </c>
      <c r="D46" s="2" t="s">
        <v>55</v>
      </c>
      <c r="E46" s="12">
        <v>1269</v>
      </c>
      <c r="F46" s="2">
        <v>390</v>
      </c>
      <c r="G46" s="2">
        <f t="shared" si="2"/>
        <v>829.5</v>
      </c>
      <c r="H46" s="2">
        <f t="shared" si="3"/>
        <v>0.14433617539585872</v>
      </c>
      <c r="I46" s="16" t="s">
        <v>267</v>
      </c>
    </row>
    <row r="47" spans="1:9" x14ac:dyDescent="0.25">
      <c r="A47" s="2">
        <v>46</v>
      </c>
      <c r="B47" s="2" t="s">
        <v>838</v>
      </c>
      <c r="C47" s="2" t="s">
        <v>82</v>
      </c>
      <c r="D47" s="2" t="s">
        <v>55</v>
      </c>
      <c r="E47" s="12">
        <v>2899</v>
      </c>
      <c r="F47" s="2">
        <v>319</v>
      </c>
      <c r="G47" s="2">
        <f t="shared" si="2"/>
        <v>1609</v>
      </c>
      <c r="H47" s="2">
        <f t="shared" si="3"/>
        <v>0.27997215938750653</v>
      </c>
      <c r="I47" s="16" t="s">
        <v>267</v>
      </c>
    </row>
    <row r="48" spans="1:9" x14ac:dyDescent="0.25">
      <c r="A48" s="2">
        <v>47</v>
      </c>
      <c r="B48" s="2" t="s">
        <v>89</v>
      </c>
      <c r="C48" s="2" t="s">
        <v>94</v>
      </c>
      <c r="D48" s="2" t="s">
        <v>55</v>
      </c>
      <c r="E48" s="2">
        <v>251</v>
      </c>
      <c r="F48" s="2">
        <v>43</v>
      </c>
      <c r="G48" s="2">
        <f t="shared" si="2"/>
        <v>147</v>
      </c>
      <c r="H48" s="2">
        <f t="shared" si="3"/>
        <v>2.5578562728380026E-2</v>
      </c>
      <c r="I48" s="16" t="s">
        <v>267</v>
      </c>
    </row>
    <row r="49" spans="1:9" x14ac:dyDescent="0.25">
      <c r="A49" s="2">
        <v>48</v>
      </c>
      <c r="B49" s="2" t="s">
        <v>849</v>
      </c>
      <c r="C49" s="2" t="s">
        <v>832</v>
      </c>
      <c r="D49" s="2" t="s">
        <v>55</v>
      </c>
      <c r="E49" s="17">
        <v>749</v>
      </c>
      <c r="F49" s="2">
        <v>120</v>
      </c>
      <c r="G49" s="2">
        <f t="shared" si="2"/>
        <v>434.5</v>
      </c>
      <c r="H49" s="2">
        <f t="shared" si="3"/>
        <v>7.5604663302592662E-2</v>
      </c>
      <c r="I49" s="16" t="s">
        <v>267</v>
      </c>
    </row>
    <row r="50" spans="1:9" x14ac:dyDescent="0.25">
      <c r="A50" s="2">
        <v>49</v>
      </c>
      <c r="B50" s="2" t="s">
        <v>845</v>
      </c>
      <c r="C50" s="2" t="s">
        <v>94</v>
      </c>
      <c r="D50" s="2" t="s">
        <v>55</v>
      </c>
      <c r="E50" s="12">
        <v>1201</v>
      </c>
      <c r="F50" s="2">
        <v>528</v>
      </c>
      <c r="G50" s="2">
        <f t="shared" si="2"/>
        <v>864.5</v>
      </c>
      <c r="H50" s="2">
        <f t="shared" si="3"/>
        <v>0.15042630937880633</v>
      </c>
      <c r="I50" s="16" t="s">
        <v>267</v>
      </c>
    </row>
    <row r="51" spans="1:9" x14ac:dyDescent="0.25">
      <c r="A51" s="2">
        <v>50</v>
      </c>
      <c r="B51" s="2" t="s">
        <v>90</v>
      </c>
      <c r="C51" s="2" t="s">
        <v>94</v>
      </c>
      <c r="D51" s="2" t="s">
        <v>55</v>
      </c>
      <c r="E51" s="2">
        <v>149</v>
      </c>
      <c r="F51" s="2">
        <v>34</v>
      </c>
      <c r="G51" s="2">
        <f t="shared" si="2"/>
        <v>91.5</v>
      </c>
      <c r="H51" s="2">
        <f t="shared" si="3"/>
        <v>1.5921350269705932E-2</v>
      </c>
      <c r="I51" s="16" t="s">
        <v>267</v>
      </c>
    </row>
    <row r="52" spans="1:9" x14ac:dyDescent="0.25">
      <c r="A52" s="2">
        <v>51</v>
      </c>
      <c r="B52" s="2" t="s">
        <v>143</v>
      </c>
      <c r="C52" s="2" t="s">
        <v>133</v>
      </c>
      <c r="D52" s="2" t="s">
        <v>55</v>
      </c>
      <c r="E52" s="12">
        <v>9046</v>
      </c>
      <c r="F52" s="12">
        <v>2035</v>
      </c>
      <c r="G52" s="2">
        <f t="shared" si="2"/>
        <v>5540.5</v>
      </c>
      <c r="H52" s="2">
        <f t="shared" si="3"/>
        <v>0.96406820950060901</v>
      </c>
      <c r="I52" s="16" t="s">
        <v>267</v>
      </c>
    </row>
    <row r="53" spans="1:9" x14ac:dyDescent="0.25">
      <c r="A53" s="2">
        <v>52</v>
      </c>
      <c r="B53" s="2" t="s">
        <v>104</v>
      </c>
      <c r="C53" s="2" t="s">
        <v>94</v>
      </c>
      <c r="D53" s="2" t="s">
        <v>55</v>
      </c>
      <c r="E53" s="12">
        <v>8745</v>
      </c>
      <c r="F53" s="12">
        <v>2749</v>
      </c>
      <c r="G53" s="2">
        <f t="shared" si="2"/>
        <v>5747</v>
      </c>
      <c r="H53" s="2">
        <f t="shared" si="3"/>
        <v>1</v>
      </c>
      <c r="I53" s="16" t="s">
        <v>267</v>
      </c>
    </row>
    <row r="54" spans="1:9" x14ac:dyDescent="0.25">
      <c r="A54" s="2">
        <v>53</v>
      </c>
      <c r="B54" s="2" t="s">
        <v>833</v>
      </c>
      <c r="C54" s="2" t="s">
        <v>68</v>
      </c>
      <c r="D54" s="2" t="s">
        <v>55</v>
      </c>
      <c r="E54" s="2">
        <v>350</v>
      </c>
      <c r="F54" s="2">
        <v>146</v>
      </c>
      <c r="G54" s="2">
        <f t="shared" si="2"/>
        <v>248</v>
      </c>
      <c r="H54" s="2">
        <f t="shared" si="3"/>
        <v>4.3152949364886027E-2</v>
      </c>
      <c r="I54" s="16" t="s">
        <v>267</v>
      </c>
    </row>
    <row r="55" spans="1:9" x14ac:dyDescent="0.25">
      <c r="A55" s="2">
        <v>54</v>
      </c>
      <c r="B55" s="2" t="s">
        <v>848</v>
      </c>
      <c r="C55" s="2" t="s">
        <v>54</v>
      </c>
      <c r="D55" s="2" t="s">
        <v>55</v>
      </c>
      <c r="E55" s="12">
        <v>1315</v>
      </c>
      <c r="F55" s="12">
        <v>184</v>
      </c>
      <c r="G55" s="2">
        <f t="shared" si="2"/>
        <v>749.5</v>
      </c>
      <c r="H55" s="2">
        <f t="shared" si="3"/>
        <v>0.13041586914912129</v>
      </c>
      <c r="I55" s="16" t="s">
        <v>267</v>
      </c>
    </row>
    <row r="56" spans="1:9" x14ac:dyDescent="0.25">
      <c r="A56" s="2">
        <v>55</v>
      </c>
      <c r="B56" s="2" t="s">
        <v>86</v>
      </c>
      <c r="C56" s="2" t="s">
        <v>65</v>
      </c>
      <c r="D56" s="2" t="s">
        <v>87</v>
      </c>
      <c r="E56" s="12">
        <v>1332</v>
      </c>
      <c r="F56" s="2">
        <v>198</v>
      </c>
      <c r="G56" s="2">
        <f t="shared" si="2"/>
        <v>765</v>
      </c>
      <c r="H56" s="2">
        <f t="shared" si="3"/>
        <v>0.13311292848442666</v>
      </c>
      <c r="I56" s="16" t="s">
        <v>261</v>
      </c>
    </row>
    <row r="57" spans="1:9" x14ac:dyDescent="0.25">
      <c r="A57" s="2">
        <v>56</v>
      </c>
      <c r="B57" s="2" t="s">
        <v>81</v>
      </c>
      <c r="C57" s="2" t="s">
        <v>80</v>
      </c>
      <c r="D57" s="2" t="s">
        <v>55</v>
      </c>
      <c r="E57" s="2">
        <v>16</v>
      </c>
      <c r="F57" s="2">
        <v>7</v>
      </c>
      <c r="G57" s="2">
        <f t="shared" si="2"/>
        <v>11.5</v>
      </c>
      <c r="H57" s="2">
        <f t="shared" si="3"/>
        <v>2.0010440229685051E-3</v>
      </c>
      <c r="I57" s="16" t="s">
        <v>267</v>
      </c>
    </row>
    <row r="58" spans="1:9" x14ac:dyDescent="0.25">
      <c r="A58" s="2">
        <v>57</v>
      </c>
      <c r="B58" s="2" t="s">
        <v>64</v>
      </c>
      <c r="C58" s="2" t="s">
        <v>65</v>
      </c>
      <c r="D58" s="2" t="s">
        <v>63</v>
      </c>
      <c r="E58" s="2">
        <v>503</v>
      </c>
      <c r="F58" s="17">
        <v>118</v>
      </c>
      <c r="G58" s="2">
        <f t="shared" si="2"/>
        <v>310.5</v>
      </c>
      <c r="H58" s="2">
        <f t="shared" si="3"/>
        <v>5.4028188620149645E-2</v>
      </c>
      <c r="I58" s="16" t="s">
        <v>262</v>
      </c>
    </row>
    <row r="59" spans="1:9" x14ac:dyDescent="0.25">
      <c r="G59" s="33">
        <f>MAX(G2:G58)</f>
        <v>5747</v>
      </c>
    </row>
  </sheetData>
  <sortState ref="A2:I59">
    <sortCondition ref="B2:B59"/>
    <sortCondition ref="C2:C59"/>
  </sortState>
  <hyperlinks>
    <hyperlink ref="I43" r:id="rId1" xr:uid="{7A3CB479-260A-4613-8D08-42539CDECD9E}"/>
    <hyperlink ref="I58" r:id="rId2" xr:uid="{14BE3928-8717-4629-9820-7CEE8AED853B}"/>
    <hyperlink ref="I22" r:id="rId3" xr:uid="{B9952A76-2FE0-4ADB-8F89-C3F93861E866}"/>
    <hyperlink ref="I56" r:id="rId4" xr:uid="{4964AC26-99FD-412E-A159-3878E8069114}"/>
    <hyperlink ref="I40" r:id="rId5" xr:uid="{B4FCF5F0-E317-4E52-8CB1-ACB6675DE8ED}"/>
    <hyperlink ref="I31" r:id="rId6" xr:uid="{D5D389CB-AB99-452C-81BE-2A68B7897211}"/>
    <hyperlink ref="I2" r:id="rId7" xr:uid="{F47AAA03-CBFC-4E20-89A9-0248F7C4765B}"/>
    <hyperlink ref="I30" r:id="rId8" xr:uid="{57F85C38-C01D-4A9C-88CF-A0446E140182}"/>
    <hyperlink ref="I55" r:id="rId9" xr:uid="{E8E867AC-7DB7-4AA2-AD2A-DD36886D5496}"/>
    <hyperlink ref="I14" r:id="rId10" xr:uid="{50D448BE-585C-467B-869D-70B177FC1320}"/>
    <hyperlink ref="I8" r:id="rId11" xr:uid="{72E50FB8-6348-4043-BCD2-7AC19DC409A1}"/>
    <hyperlink ref="I6:I13" r:id="rId12" display="https://www.indeed.com/" xr:uid="{3FF89824-A829-4696-AFBF-F7750B017C6B}"/>
    <hyperlink ref="I28" r:id="rId13" xr:uid="{DBB2D036-BA77-4515-924A-556D941D4F79}"/>
    <hyperlink ref="I15:I21" r:id="rId14" display="https://www.indeed.com/" xr:uid="{436794F4-B9D3-4FE6-B528-5F50103F4B93}"/>
    <hyperlink ref="I11" r:id="rId15" xr:uid="{718C9824-93D9-4C75-AED9-E3FC8BCF0C56}"/>
    <hyperlink ref="I35" r:id="rId16" xr:uid="{4C9D3D21-7583-4AF0-A953-DDC4C2DD35A8}"/>
    <hyperlink ref="I31:I51" r:id="rId17" display="https://www.indeed.com/" xr:uid="{CC01F78C-2CF7-4F19-BE44-DC76E7700A48}"/>
    <hyperlink ref="I52:I58" r:id="rId18" display="https://www.indeed.com/" xr:uid="{481E65EB-4A1C-4B2F-847A-A83B2FDEF546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25"/>
  <sheetViews>
    <sheetView topLeftCell="A4" workbookViewId="0">
      <selection activeCell="A18" sqref="A18:XFD18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276</v>
      </c>
      <c r="G1" s="1" t="s">
        <v>243</v>
      </c>
      <c r="H1" s="1" t="s">
        <v>244</v>
      </c>
      <c r="I1" s="1" t="s">
        <v>193</v>
      </c>
      <c r="J1" s="1" t="s">
        <v>192</v>
      </c>
      <c r="K1" s="1" t="s">
        <v>296</v>
      </c>
      <c r="L1" s="1" t="s">
        <v>196</v>
      </c>
      <c r="M1" s="1" t="s">
        <v>197</v>
      </c>
      <c r="N1" s="26" t="s">
        <v>322</v>
      </c>
      <c r="O1" s="23" t="s">
        <v>321</v>
      </c>
      <c r="P1" s="1" t="s">
        <v>155</v>
      </c>
      <c r="Q1" s="1" t="s">
        <v>28</v>
      </c>
      <c r="R1" s="1" t="s">
        <v>154</v>
      </c>
      <c r="S1" s="1" t="s">
        <v>29</v>
      </c>
      <c r="T1" s="4" t="s">
        <v>198</v>
      </c>
      <c r="U1" s="1" t="s">
        <v>56</v>
      </c>
      <c r="V1" s="1" t="s">
        <v>5</v>
      </c>
      <c r="W1" s="1" t="s">
        <v>259</v>
      </c>
      <c r="X1" s="1" t="s">
        <v>41</v>
      </c>
      <c r="Y1" s="1" t="s">
        <v>4</v>
      </c>
      <c r="Z1" s="1" t="s">
        <v>216</v>
      </c>
      <c r="AA1" s="1" t="s">
        <v>217</v>
      </c>
      <c r="AB1" s="1" t="s">
        <v>648</v>
      </c>
      <c r="AC1" s="1" t="s">
        <v>639</v>
      </c>
      <c r="AD1" s="4" t="s">
        <v>636</v>
      </c>
      <c r="AE1" s="4" t="s">
        <v>637</v>
      </c>
      <c r="AF1" s="4" t="s">
        <v>638</v>
      </c>
      <c r="AG1" s="1" t="s">
        <v>105</v>
      </c>
      <c r="AH1" s="8" t="s">
        <v>34</v>
      </c>
      <c r="AI1" s="1" t="s">
        <v>213</v>
      </c>
      <c r="AJ1" s="43" t="s">
        <v>33</v>
      </c>
    </row>
    <row r="2" spans="1:36" s="6" customFormat="1" x14ac:dyDescent="0.25">
      <c r="A2" s="13">
        <f>'Universities Selection'!B21+1</f>
        <v>1</v>
      </c>
      <c r="B2" s="36" t="s">
        <v>51</v>
      </c>
      <c r="C2" s="2" t="s">
        <v>98</v>
      </c>
      <c r="D2" s="2" t="s">
        <v>65</v>
      </c>
      <c r="E2" s="2" t="s">
        <v>62</v>
      </c>
      <c r="F2" s="2"/>
      <c r="G2" s="2"/>
      <c r="H2" s="19"/>
      <c r="I2" s="2">
        <v>0</v>
      </c>
      <c r="J2" s="2">
        <v>0</v>
      </c>
      <c r="K2" s="2"/>
      <c r="L2" s="2"/>
      <c r="M2" s="2"/>
      <c r="N2" s="24"/>
      <c r="O2" s="2" t="s">
        <v>39</v>
      </c>
      <c r="P2" s="2" t="s">
        <v>160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58</v>
      </c>
      <c r="W2" s="2"/>
      <c r="X2" s="2"/>
      <c r="Y2" s="2"/>
      <c r="Z2" s="2"/>
      <c r="AA2" s="2"/>
      <c r="AB2" s="2"/>
      <c r="AC2" s="41">
        <v>9962</v>
      </c>
      <c r="AD2" s="41">
        <v>1214</v>
      </c>
      <c r="AE2" s="40">
        <v>80</v>
      </c>
      <c r="AF2" s="41">
        <v>1538</v>
      </c>
      <c r="AG2" s="2"/>
      <c r="AH2" s="9" t="s">
        <v>207</v>
      </c>
      <c r="AI2" s="2"/>
      <c r="AJ2" s="2"/>
    </row>
    <row r="3" spans="1:36" s="6" customFormat="1" x14ac:dyDescent="0.25">
      <c r="A3" s="13">
        <f>A2+1</f>
        <v>2</v>
      </c>
      <c r="B3" s="36" t="s">
        <v>52</v>
      </c>
      <c r="C3" s="2" t="s">
        <v>61</v>
      </c>
      <c r="D3" s="2" t="s">
        <v>65</v>
      </c>
      <c r="E3" s="2" t="s">
        <v>62</v>
      </c>
      <c r="F3" s="2"/>
      <c r="G3" s="2"/>
      <c r="H3" s="19"/>
      <c r="I3" s="2">
        <v>0</v>
      </c>
      <c r="J3" s="2">
        <v>0</v>
      </c>
      <c r="K3" s="2"/>
      <c r="L3" s="2"/>
      <c r="M3" s="2"/>
      <c r="N3" s="24"/>
      <c r="O3" s="2" t="s">
        <v>39</v>
      </c>
      <c r="P3" s="2" t="s">
        <v>160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57</v>
      </c>
      <c r="W3" s="2"/>
      <c r="X3" s="2"/>
      <c r="Y3" s="2"/>
      <c r="Z3" s="2"/>
      <c r="AA3" s="2"/>
      <c r="AB3" s="2"/>
      <c r="AC3" s="41">
        <v>23081</v>
      </c>
      <c r="AD3" s="41">
        <v>2206</v>
      </c>
      <c r="AE3" s="40">
        <v>89</v>
      </c>
      <c r="AF3" s="41">
        <v>3947</v>
      </c>
      <c r="AG3" s="2"/>
      <c r="AH3" s="9" t="s">
        <v>200</v>
      </c>
      <c r="AI3" s="2"/>
      <c r="AJ3" s="2"/>
    </row>
    <row r="4" spans="1:36" s="6" customFormat="1" x14ac:dyDescent="0.25">
      <c r="A4" s="13">
        <f>A3+1</f>
        <v>3</v>
      </c>
      <c r="B4" s="36" t="s">
        <v>53</v>
      </c>
      <c r="C4" s="2" t="s">
        <v>101</v>
      </c>
      <c r="D4" s="2" t="s">
        <v>65</v>
      </c>
      <c r="E4" s="2" t="s">
        <v>102</v>
      </c>
      <c r="F4" s="2"/>
      <c r="G4" s="2"/>
      <c r="H4" s="19"/>
      <c r="I4" s="2"/>
      <c r="J4" s="2">
        <v>0</v>
      </c>
      <c r="K4" s="2">
        <v>1</v>
      </c>
      <c r="L4" s="15">
        <v>43555</v>
      </c>
      <c r="M4" s="15">
        <v>43616</v>
      </c>
      <c r="N4" s="24" t="s">
        <v>274</v>
      </c>
      <c r="O4" s="2" t="s">
        <v>39</v>
      </c>
      <c r="P4" s="2" t="s">
        <v>165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43</v>
      </c>
      <c r="W4" s="2">
        <v>7.85E-2</v>
      </c>
      <c r="X4" s="2"/>
      <c r="Y4" s="2"/>
      <c r="Z4" s="2"/>
      <c r="AA4" s="2"/>
      <c r="AB4" s="2"/>
      <c r="AC4" s="41">
        <v>39323</v>
      </c>
      <c r="AD4" s="41">
        <v>9894</v>
      </c>
      <c r="AE4" s="40">
        <v>63</v>
      </c>
      <c r="AF4" s="41">
        <v>5925</v>
      </c>
      <c r="AG4" s="2"/>
      <c r="AH4" s="9" t="s">
        <v>207</v>
      </c>
      <c r="AI4" s="2"/>
      <c r="AJ4" s="2"/>
    </row>
    <row r="5" spans="1:36" s="6" customFormat="1" x14ac:dyDescent="0.25">
      <c r="A5" s="13">
        <f>'Universities Selection'!B19+1</f>
        <v>1</v>
      </c>
      <c r="B5" s="36" t="s">
        <v>404</v>
      </c>
      <c r="C5" s="2" t="s">
        <v>98</v>
      </c>
      <c r="D5" s="2" t="s">
        <v>65</v>
      </c>
      <c r="E5" s="2" t="s">
        <v>62</v>
      </c>
      <c r="F5" s="2"/>
      <c r="G5" s="2"/>
      <c r="H5" s="19"/>
      <c r="I5" s="2">
        <v>0</v>
      </c>
      <c r="J5" s="2">
        <v>0</v>
      </c>
      <c r="K5" s="2"/>
      <c r="L5" s="2"/>
      <c r="M5" s="2"/>
      <c r="N5" s="24"/>
      <c r="O5" s="2" t="s">
        <v>39</v>
      </c>
      <c r="P5" s="2" t="s">
        <v>160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30</v>
      </c>
      <c r="W5" s="2"/>
      <c r="X5" s="2">
        <v>34.200000000000003</v>
      </c>
      <c r="Y5" s="2"/>
      <c r="Z5" s="2"/>
      <c r="AA5" s="2"/>
      <c r="AB5" s="2"/>
      <c r="AC5" s="41">
        <v>27407</v>
      </c>
      <c r="AD5" s="41">
        <v>3217</v>
      </c>
      <c r="AE5" s="40">
        <v>86</v>
      </c>
      <c r="AF5" s="41">
        <v>4522</v>
      </c>
      <c r="AG5" s="2"/>
      <c r="AH5" s="9" t="s">
        <v>207</v>
      </c>
      <c r="AI5" s="2"/>
      <c r="AJ5" s="2"/>
    </row>
    <row r="6" spans="1:36" s="6" customFormat="1" x14ac:dyDescent="0.25">
      <c r="A6" s="13">
        <f>'Universities Selection'!B18+1</f>
        <v>1</v>
      </c>
      <c r="B6" s="36" t="s">
        <v>47</v>
      </c>
      <c r="C6" s="2" t="s">
        <v>65</v>
      </c>
      <c r="D6" s="2" t="s">
        <v>65</v>
      </c>
      <c r="E6" s="2" t="s">
        <v>74</v>
      </c>
      <c r="F6" s="2"/>
      <c r="G6" s="2"/>
      <c r="H6" s="19" t="s">
        <v>257</v>
      </c>
      <c r="I6" s="2">
        <v>0</v>
      </c>
      <c r="J6" s="2">
        <v>0</v>
      </c>
      <c r="K6" s="2"/>
      <c r="L6" s="2"/>
      <c r="M6" s="2"/>
      <c r="N6" s="24">
        <v>100</v>
      </c>
      <c r="O6" s="2" t="s">
        <v>39</v>
      </c>
      <c r="P6" s="2" t="s">
        <v>158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26</v>
      </c>
      <c r="W6" s="2">
        <v>0.2334</v>
      </c>
      <c r="X6" s="2"/>
      <c r="Y6" s="2"/>
      <c r="Z6" s="2"/>
      <c r="AA6" s="2"/>
      <c r="AB6" s="2"/>
      <c r="AC6" s="41">
        <v>25088</v>
      </c>
      <c r="AD6" s="41">
        <v>6719</v>
      </c>
      <c r="AE6" s="40">
        <v>50</v>
      </c>
      <c r="AF6" s="41">
        <v>4216</v>
      </c>
      <c r="AG6" s="2"/>
      <c r="AH6" s="9" t="s">
        <v>200</v>
      </c>
      <c r="AI6" s="2"/>
      <c r="AJ6" s="2" t="s">
        <v>292</v>
      </c>
    </row>
    <row r="7" spans="1:36" s="6" customFormat="1" x14ac:dyDescent="0.25">
      <c r="A7" s="13">
        <f>'Deprecated Universities'!A15+1</f>
        <v>23</v>
      </c>
      <c r="B7" s="36" t="s">
        <v>43</v>
      </c>
      <c r="C7" s="2" t="s">
        <v>93</v>
      </c>
      <c r="D7" s="2" t="s">
        <v>65</v>
      </c>
      <c r="E7" s="2" t="s">
        <v>97</v>
      </c>
      <c r="F7" s="2"/>
      <c r="G7" s="2"/>
      <c r="H7" s="19" t="s">
        <v>255</v>
      </c>
      <c r="I7" s="2"/>
      <c r="J7" s="2">
        <v>0</v>
      </c>
      <c r="K7" s="2"/>
      <c r="L7" s="21" t="s">
        <v>282</v>
      </c>
      <c r="M7" s="21" t="s">
        <v>283</v>
      </c>
      <c r="N7" s="25" t="s">
        <v>323</v>
      </c>
      <c r="O7" s="2" t="s">
        <v>39</v>
      </c>
      <c r="P7" s="2" t="s">
        <v>161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21</v>
      </c>
      <c r="W7" s="2">
        <v>8.4099999999999994E-2</v>
      </c>
      <c r="X7" s="2">
        <v>17.5</v>
      </c>
      <c r="Y7" s="2"/>
      <c r="Z7" s="2"/>
      <c r="AA7" s="2"/>
      <c r="AB7" s="2"/>
      <c r="AC7" s="41">
        <v>20631</v>
      </c>
      <c r="AD7" s="41">
        <v>8005</v>
      </c>
      <c r="AE7" s="40">
        <v>72</v>
      </c>
      <c r="AF7" s="41">
        <v>6564</v>
      </c>
      <c r="AG7" s="2"/>
      <c r="AH7" s="9" t="s">
        <v>211</v>
      </c>
      <c r="AI7" s="2"/>
      <c r="AJ7" s="2"/>
    </row>
    <row r="8" spans="1:36" s="6" customFormat="1" x14ac:dyDescent="0.25">
      <c r="A8" s="13">
        <f>A7+1</f>
        <v>24</v>
      </c>
      <c r="B8" s="36" t="s">
        <v>35</v>
      </c>
      <c r="C8" s="2" t="s">
        <v>59</v>
      </c>
      <c r="D8" s="2" t="s">
        <v>60</v>
      </c>
      <c r="E8" s="2" t="s">
        <v>55</v>
      </c>
      <c r="F8" s="2"/>
      <c r="G8" s="2"/>
      <c r="H8" s="19"/>
      <c r="I8" s="2"/>
      <c r="J8" s="2">
        <v>0</v>
      </c>
      <c r="K8" s="2"/>
      <c r="L8" s="2"/>
      <c r="M8" s="2"/>
      <c r="N8" s="24">
        <v>90</v>
      </c>
      <c r="O8" s="2" t="s">
        <v>39</v>
      </c>
      <c r="P8" s="2" t="s">
        <v>156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2</v>
      </c>
      <c r="W8" s="2">
        <v>0.58379999999999999</v>
      </c>
      <c r="X8" s="2">
        <v>8.3000000000000007</v>
      </c>
      <c r="Y8" s="2"/>
      <c r="Z8" s="2"/>
      <c r="AA8" s="2"/>
      <c r="AB8" s="2"/>
      <c r="AC8" s="41">
        <v>11145</v>
      </c>
      <c r="AD8" s="41">
        <v>3732</v>
      </c>
      <c r="AE8" s="40">
        <v>83</v>
      </c>
      <c r="AF8" s="41">
        <v>3009</v>
      </c>
      <c r="AG8" s="2"/>
      <c r="AH8" s="9" t="s">
        <v>210</v>
      </c>
      <c r="AI8" s="2"/>
      <c r="AJ8" s="2" t="s">
        <v>281</v>
      </c>
    </row>
    <row r="9" spans="1:36" s="6" customFormat="1" x14ac:dyDescent="0.25">
      <c r="A9" s="13">
        <f>'Universities Selection'!B10+1</f>
        <v>1</v>
      </c>
      <c r="B9" s="36" t="s">
        <v>418</v>
      </c>
      <c r="C9" s="2" t="s">
        <v>78</v>
      </c>
      <c r="D9" s="2" t="s">
        <v>77</v>
      </c>
      <c r="E9" s="2" t="s">
        <v>55</v>
      </c>
      <c r="F9" s="2"/>
      <c r="G9" s="2"/>
      <c r="H9" s="19"/>
      <c r="I9" s="2"/>
      <c r="J9" s="2">
        <v>0</v>
      </c>
      <c r="K9" s="2"/>
      <c r="L9" s="2"/>
      <c r="M9" s="20" t="s">
        <v>280</v>
      </c>
      <c r="N9" s="24">
        <v>80</v>
      </c>
      <c r="O9" s="2" t="s">
        <v>39</v>
      </c>
      <c r="P9" s="2" t="s">
        <v>156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63</v>
      </c>
      <c r="W9" s="2">
        <v>3.3999999999999998E-3</v>
      </c>
      <c r="X9" s="2">
        <v>78.400000000000006</v>
      </c>
      <c r="Y9" s="2"/>
      <c r="Z9" s="2"/>
      <c r="AA9" s="2"/>
      <c r="AB9" s="2"/>
      <c r="AC9" s="41">
        <v>25038</v>
      </c>
      <c r="AD9" s="41">
        <v>2933</v>
      </c>
      <c r="AE9" s="40">
        <v>42</v>
      </c>
      <c r="AF9" s="41">
        <v>2042</v>
      </c>
      <c r="AG9" s="2"/>
      <c r="AH9" s="9" t="s">
        <v>208</v>
      </c>
      <c r="AI9" s="2"/>
      <c r="AJ9" s="2"/>
    </row>
    <row r="10" spans="1:36" s="6" customFormat="1" x14ac:dyDescent="0.25">
      <c r="A10" s="13">
        <v>6</v>
      </c>
      <c r="B10" s="36" t="s">
        <v>17</v>
      </c>
      <c r="C10" s="2" t="s">
        <v>59</v>
      </c>
      <c r="D10" s="2" t="s">
        <v>60</v>
      </c>
      <c r="E10" s="2" t="s">
        <v>55</v>
      </c>
      <c r="F10" s="2">
        <v>30</v>
      </c>
      <c r="G10" s="2"/>
      <c r="H10" s="19"/>
      <c r="I10" s="2"/>
      <c r="J10" s="2">
        <v>0</v>
      </c>
      <c r="K10" s="2"/>
      <c r="L10" s="2"/>
      <c r="M10" s="2"/>
      <c r="N10" s="24">
        <v>80</v>
      </c>
      <c r="O10" s="2" t="s">
        <v>39</v>
      </c>
      <c r="P10" s="2" t="s">
        <v>156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12</v>
      </c>
      <c r="W10" s="2">
        <v>0.58320000000000005</v>
      </c>
      <c r="X10" s="2">
        <v>5.6</v>
      </c>
      <c r="Y10" s="2"/>
      <c r="Z10" s="2"/>
      <c r="AA10" s="2"/>
      <c r="AB10" s="2"/>
      <c r="AC10" s="41">
        <v>22727</v>
      </c>
      <c r="AD10" s="41">
        <v>5495</v>
      </c>
      <c r="AE10" s="40">
        <v>85</v>
      </c>
      <c r="AF10" s="41">
        <v>4542</v>
      </c>
      <c r="AG10" s="2"/>
      <c r="AH10" s="9" t="s">
        <v>207</v>
      </c>
      <c r="AI10" s="2"/>
      <c r="AJ10" s="2" t="s">
        <v>275</v>
      </c>
    </row>
    <row r="11" spans="1:36" s="6" customFormat="1" x14ac:dyDescent="0.25">
      <c r="A11" s="13">
        <v>21</v>
      </c>
      <c r="B11" s="36" t="s">
        <v>35</v>
      </c>
      <c r="C11" s="2" t="s">
        <v>59</v>
      </c>
      <c r="D11" s="2" t="s">
        <v>60</v>
      </c>
      <c r="E11" s="2" t="s">
        <v>55</v>
      </c>
      <c r="F11" s="2"/>
      <c r="G11" s="19"/>
      <c r="H11" s="2"/>
      <c r="I11" s="2"/>
      <c r="J11" s="2"/>
      <c r="K11" s="24">
        <v>90</v>
      </c>
      <c r="L11" s="2" t="s">
        <v>156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2</v>
      </c>
      <c r="S11" s="2">
        <v>0.58379999999999999</v>
      </c>
      <c r="T11" s="2">
        <v>8.3000000000000007</v>
      </c>
      <c r="U11" s="2">
        <f>VLOOKUP(B11,Rank_Data_All,37,FALSE)</f>
        <v>4.0999999999999996</v>
      </c>
      <c r="V11" s="2">
        <f>VLOOKUP(B11,Rank_Data_All,9,FALSE)</f>
        <v>98.7</v>
      </c>
      <c r="W11" s="2"/>
      <c r="X11" s="41">
        <v>11145</v>
      </c>
      <c r="Y11" s="41">
        <v>3732</v>
      </c>
      <c r="Z11" s="40">
        <v>83</v>
      </c>
      <c r="AA11" s="41">
        <v>3009</v>
      </c>
      <c r="AB11" s="2"/>
      <c r="AC11" s="9" t="s">
        <v>210</v>
      </c>
      <c r="AD11" s="2"/>
      <c r="AE11" s="2" t="s">
        <v>281</v>
      </c>
    </row>
    <row r="12" spans="1:36" s="6" customFormat="1" x14ac:dyDescent="0.25">
      <c r="A12" s="13">
        <v>38</v>
      </c>
      <c r="B12" s="36" t="s">
        <v>115</v>
      </c>
      <c r="C12" s="2" t="s">
        <v>137</v>
      </c>
      <c r="D12" s="2" t="s">
        <v>142</v>
      </c>
      <c r="E12" s="2" t="s">
        <v>55</v>
      </c>
      <c r="F12" s="2"/>
      <c r="G12" s="19" t="s">
        <v>242</v>
      </c>
      <c r="H12" s="2"/>
      <c r="I12" s="2"/>
      <c r="J12" s="15">
        <v>43449</v>
      </c>
      <c r="K12" s="24">
        <v>108</v>
      </c>
      <c r="L12" s="2" t="s">
        <v>156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18</v>
      </c>
      <c r="S12" s="2">
        <v>0.11890000000000001</v>
      </c>
      <c r="T12" s="2">
        <v>7.1</v>
      </c>
      <c r="U12" s="2">
        <f>VLOOKUP(B12,Rank_Data_All,37,FALSE)</f>
        <v>35.51</v>
      </c>
      <c r="V12" s="2">
        <f>VLOOKUP(B12,Rank_Data_All,9,FALSE)</f>
        <v>83.5</v>
      </c>
      <c r="W12" s="2"/>
      <c r="X12" s="41">
        <v>8017</v>
      </c>
      <c r="Y12" s="41">
        <v>1793</v>
      </c>
      <c r="Z12" s="40">
        <v>65</v>
      </c>
      <c r="AA12" s="42">
        <v>987</v>
      </c>
      <c r="AB12" s="2" t="s">
        <v>624</v>
      </c>
      <c r="AC12" s="9" t="s">
        <v>212</v>
      </c>
      <c r="AD12" s="2"/>
      <c r="AE12" s="2" t="s">
        <v>715</v>
      </c>
    </row>
    <row r="13" spans="1:36" s="6" customFormat="1" x14ac:dyDescent="0.25">
      <c r="A13" s="13">
        <v>40</v>
      </c>
      <c r="B13" s="48" t="s">
        <v>117</v>
      </c>
      <c r="C13" s="2" t="s">
        <v>143</v>
      </c>
      <c r="D13" s="2" t="s">
        <v>133</v>
      </c>
      <c r="E13" s="2" t="s">
        <v>55</v>
      </c>
      <c r="F13" s="2">
        <v>30</v>
      </c>
      <c r="G13" s="19" t="s">
        <v>245</v>
      </c>
      <c r="H13" s="2"/>
      <c r="I13" s="2"/>
      <c r="J13" s="15">
        <v>43483</v>
      </c>
      <c r="K13" s="24"/>
      <c r="L13" s="2" t="s">
        <v>156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9</v>
      </c>
      <c r="S13" s="2">
        <v>0.96409999999999996</v>
      </c>
      <c r="T13" s="2">
        <v>53.3</v>
      </c>
      <c r="U13" s="2">
        <f>VLOOKUP(B13,Rank_Data_All,37,FALSE)</f>
        <v>11.29</v>
      </c>
      <c r="V13" s="2">
        <f>VLOOKUP(B13,Rank_Data_All,9,FALSE)</f>
        <v>71.7</v>
      </c>
      <c r="W13" s="2"/>
      <c r="X13" s="41">
        <v>52346</v>
      </c>
      <c r="Y13" s="41">
        <v>7863</v>
      </c>
      <c r="Z13" s="40">
        <v>34</v>
      </c>
      <c r="AA13" s="41">
        <v>2796</v>
      </c>
      <c r="AB13" s="2"/>
      <c r="AC13" s="9" t="s">
        <v>209</v>
      </c>
      <c r="AD13" s="2"/>
      <c r="AE13" s="2" t="s">
        <v>317</v>
      </c>
    </row>
    <row r="14" spans="1:36" s="6" customFormat="1" x14ac:dyDescent="0.25">
      <c r="A14" s="13">
        <v>21</v>
      </c>
      <c r="B14" s="52" t="s">
        <v>36</v>
      </c>
      <c r="C14" s="2" t="s">
        <v>104</v>
      </c>
      <c r="D14" s="2" t="s">
        <v>94</v>
      </c>
      <c r="E14" s="2" t="s">
        <v>55</v>
      </c>
      <c r="F14" s="2"/>
      <c r="G14" s="19"/>
      <c r="H14" s="2"/>
      <c r="I14" s="2"/>
      <c r="J14" s="15">
        <v>43438</v>
      </c>
      <c r="K14" s="24">
        <v>89</v>
      </c>
      <c r="L14" s="2" t="s">
        <v>156</v>
      </c>
      <c r="M14" s="3">
        <v>51353</v>
      </c>
      <c r="N14" s="3">
        <v>18804</v>
      </c>
      <c r="O14" s="3">
        <f>M14+N14</f>
        <v>70157</v>
      </c>
      <c r="P14" s="3"/>
      <c r="Q14" s="2"/>
      <c r="R14" s="2">
        <f>VLOOKUP(B14,Overall_Rank,2,)</f>
        <v>3</v>
      </c>
      <c r="S14" s="2">
        <v>1</v>
      </c>
      <c r="T14" s="2">
        <v>5</v>
      </c>
      <c r="U14" s="2">
        <f>VLOOKUP(B14,Rank_Data_All,37,FALSE)</f>
        <v>4.1900000000000004</v>
      </c>
      <c r="V14" s="2">
        <f>VLOOKUP(B14,Rank_Data_All,9,FALSE)</f>
        <v>96</v>
      </c>
      <c r="W14" s="2"/>
      <c r="X14" s="41">
        <v>16135</v>
      </c>
      <c r="Y14" s="41">
        <v>3665</v>
      </c>
      <c r="Z14" s="40">
        <v>83</v>
      </c>
      <c r="AA14" s="41">
        <v>4366</v>
      </c>
      <c r="AB14" s="2"/>
      <c r="AC14" s="9" t="s">
        <v>211</v>
      </c>
      <c r="AD14" s="2"/>
      <c r="AE14" s="2"/>
    </row>
    <row r="15" spans="1:36" s="6" customFormat="1" x14ac:dyDescent="0.25">
      <c r="A15" s="13">
        <v>22</v>
      </c>
      <c r="B15" s="52" t="s">
        <v>42</v>
      </c>
      <c r="C15" s="2" t="s">
        <v>96</v>
      </c>
      <c r="D15" s="2" t="s">
        <v>94</v>
      </c>
      <c r="E15" s="2" t="s">
        <v>55</v>
      </c>
      <c r="F15" s="2"/>
      <c r="G15" s="19"/>
      <c r="H15" s="2"/>
      <c r="I15" s="15"/>
      <c r="J15" s="15">
        <v>43435</v>
      </c>
      <c r="K15" s="24" t="s">
        <v>274</v>
      </c>
      <c r="L15" s="2" t="s">
        <v>156</v>
      </c>
      <c r="M15" s="3">
        <v>52234</v>
      </c>
      <c r="N15" s="3">
        <v>17468</v>
      </c>
      <c r="O15" s="3">
        <f>M15+N15</f>
        <v>69702</v>
      </c>
      <c r="P15" s="3"/>
      <c r="Q15" s="2"/>
      <c r="R15" s="2">
        <f>VLOOKUP(B15,Overall_Rank,2,)</f>
        <v>40</v>
      </c>
      <c r="S15" s="2">
        <v>0.28889999999999999</v>
      </c>
      <c r="T15" s="2">
        <v>8.8000000000000007</v>
      </c>
      <c r="U15" s="2">
        <f>VLOOKUP(B15,Rank_Data_All,37,FALSE)</f>
        <v>66.14</v>
      </c>
      <c r="V15" s="2">
        <f>VLOOKUP(B15,Rank_Data_All,9,FALSE)</f>
        <v>80.900000000000006</v>
      </c>
      <c r="W15" s="2"/>
      <c r="X15" s="41">
        <v>2239</v>
      </c>
      <c r="Y15" s="42">
        <v>667</v>
      </c>
      <c r="Z15" s="40">
        <v>87</v>
      </c>
      <c r="AA15" s="41">
        <v>1009</v>
      </c>
      <c r="AB15" s="2"/>
      <c r="AC15" s="9" t="s">
        <v>210</v>
      </c>
      <c r="AD15" s="2"/>
      <c r="AE15" s="2" t="s">
        <v>752</v>
      </c>
    </row>
    <row r="16" spans="1:36" s="6" customFormat="1" x14ac:dyDescent="0.25">
      <c r="A16" s="13">
        <v>22</v>
      </c>
      <c r="B16" s="51" t="s">
        <v>19</v>
      </c>
      <c r="C16" s="2" t="s">
        <v>65</v>
      </c>
      <c r="D16" s="2" t="s">
        <v>65</v>
      </c>
      <c r="E16" s="2" t="s">
        <v>74</v>
      </c>
      <c r="F16" s="2"/>
      <c r="G16" s="19" t="s">
        <v>754</v>
      </c>
      <c r="H16" s="19" t="s">
        <v>258</v>
      </c>
      <c r="I16" s="2"/>
      <c r="J16" s="2"/>
      <c r="K16" s="15">
        <v>43539</v>
      </c>
      <c r="L16" s="24">
        <v>90</v>
      </c>
      <c r="M16" s="2" t="s">
        <v>158</v>
      </c>
      <c r="N16" s="3">
        <v>37550</v>
      </c>
      <c r="O16" s="3">
        <v>10386</v>
      </c>
      <c r="P16" s="3">
        <f>N16+O16</f>
        <v>47936</v>
      </c>
      <c r="Q16" s="3"/>
      <c r="R16" s="2"/>
      <c r="S16" s="2">
        <f>VLOOKUP(B16,Overall_Rank,2,)</f>
        <v>20</v>
      </c>
      <c r="T16" s="2">
        <v>0.2334</v>
      </c>
      <c r="U16" s="2"/>
      <c r="V16" s="2">
        <f>VLOOKUP(B16,Rank_Data_All,37,FALSE)</f>
        <v>37.51</v>
      </c>
      <c r="W16" s="2">
        <f>VLOOKUP(B16,Rank_Data_All,9,FALSE)</f>
        <v>89.8</v>
      </c>
      <c r="X16" s="2"/>
      <c r="Y16" s="41">
        <v>30226</v>
      </c>
      <c r="Z16" s="41">
        <v>7787</v>
      </c>
      <c r="AA16" s="40">
        <v>52</v>
      </c>
      <c r="AB16" s="41">
        <v>4766</v>
      </c>
      <c r="AC16" s="2"/>
      <c r="AD16" s="9" t="s">
        <v>207</v>
      </c>
      <c r="AE16" s="2"/>
      <c r="AF16" s="2" t="s">
        <v>780</v>
      </c>
    </row>
    <row r="17" spans="1:32" s="18" customFormat="1" x14ac:dyDescent="0.25">
      <c r="A17" s="11">
        <v>50</v>
      </c>
      <c r="B17" s="2" t="s">
        <v>391</v>
      </c>
      <c r="C17" s="2" t="s">
        <v>833</v>
      </c>
      <c r="D17" s="2" t="s">
        <v>68</v>
      </c>
      <c r="E17" s="2" t="s">
        <v>55</v>
      </c>
      <c r="F17" s="2"/>
      <c r="G17" s="2"/>
      <c r="H17" s="2" t="s">
        <v>757</v>
      </c>
      <c r="I17" s="2"/>
      <c r="J17" s="2"/>
      <c r="K17" s="2"/>
      <c r="L17" s="2"/>
      <c r="M17" s="105">
        <v>90</v>
      </c>
      <c r="N17" s="2" t="s">
        <v>156</v>
      </c>
      <c r="O17" s="2"/>
      <c r="P17" s="2"/>
      <c r="Q17" s="2"/>
      <c r="R17" s="11">
        <f t="shared" ref="R17:R25" si="2">VLOOKUP(B17,Overall_Rank,2,)</f>
        <v>64</v>
      </c>
      <c r="S17" s="11">
        <f t="shared" ref="S17:S25" si="3">VLOOKUP(B17,Rank_Data_All,3,FALSE)</f>
        <v>349</v>
      </c>
      <c r="T17" s="11">
        <f t="shared" ref="T17:T25" si="4">VLOOKUP(B17,Rank_Data_All,5,FALSE)</f>
        <v>375</v>
      </c>
      <c r="U17" s="11">
        <f t="shared" ref="U17:U25" si="5">_xlfn.FLOOR.MATH(IF(C17&lt;&gt;"-",VLOOKUP(C17,Cities,7,),VLOOKUP(C17,States,6,))*100)</f>
        <v>4</v>
      </c>
      <c r="V17" s="2"/>
      <c r="W17" s="2">
        <f t="shared" ref="W17:W25" si="6">VLOOKUP(B17,Rank_Data_All,37,FALSE)</f>
        <v>31.58</v>
      </c>
      <c r="X17" s="2">
        <f t="shared" ref="X17:X25" si="7">VLOOKUP(B17,Rank_Data_All,9,FALSE)</f>
        <v>27.5</v>
      </c>
      <c r="Y17" s="2"/>
      <c r="Z17" s="12">
        <v>24026</v>
      </c>
      <c r="AA17" s="12">
        <v>6338</v>
      </c>
      <c r="AB17" s="2">
        <v>36</v>
      </c>
      <c r="AC17" s="12">
        <v>2188</v>
      </c>
      <c r="AD17" s="2"/>
      <c r="AE17" s="13"/>
      <c r="AF17" s="2"/>
    </row>
    <row r="18" spans="1:32" s="18" customFormat="1" x14ac:dyDescent="0.25">
      <c r="A18" s="11">
        <v>51</v>
      </c>
      <c r="B18" s="2" t="s">
        <v>423</v>
      </c>
      <c r="C18" s="2" t="s">
        <v>838</v>
      </c>
      <c r="D18" s="2" t="s">
        <v>82</v>
      </c>
      <c r="E18" s="2" t="s">
        <v>55</v>
      </c>
      <c r="F18" s="2"/>
      <c r="G18" s="2"/>
      <c r="H18" s="2" t="s">
        <v>757</v>
      </c>
      <c r="I18" s="2"/>
      <c r="J18" s="2"/>
      <c r="K18" s="2"/>
      <c r="L18" s="2"/>
      <c r="M18" s="105">
        <v>90</v>
      </c>
      <c r="N18" s="2" t="s">
        <v>156</v>
      </c>
      <c r="O18" s="2"/>
      <c r="P18" s="2"/>
      <c r="Q18" s="2"/>
      <c r="R18" s="90">
        <f t="shared" si="2"/>
        <v>65</v>
      </c>
      <c r="S18" s="11">
        <f t="shared" si="3"/>
        <v>426</v>
      </c>
      <c r="T18" s="11">
        <f t="shared" si="4"/>
        <v>375</v>
      </c>
      <c r="U18" s="11">
        <f t="shared" si="5"/>
        <v>27</v>
      </c>
      <c r="V18" s="2"/>
      <c r="W18" s="2">
        <f t="shared" si="6"/>
        <v>43.34</v>
      </c>
      <c r="X18" s="2">
        <f t="shared" si="7"/>
        <v>52.6</v>
      </c>
      <c r="Y18" s="2"/>
      <c r="Z18" s="12">
        <v>22824</v>
      </c>
      <c r="AA18" s="12">
        <v>5518</v>
      </c>
      <c r="AB18" s="2">
        <v>90</v>
      </c>
      <c r="AC18" s="12">
        <v>1081</v>
      </c>
      <c r="AD18" s="2"/>
      <c r="AE18" s="13"/>
      <c r="AF18" s="2"/>
    </row>
    <row r="19" spans="1:32" s="18" customFormat="1" x14ac:dyDescent="0.25">
      <c r="A19" s="11">
        <v>52</v>
      </c>
      <c r="B19" s="33" t="s">
        <v>386</v>
      </c>
      <c r="C19" s="2" t="s">
        <v>89</v>
      </c>
      <c r="D19" s="2" t="s">
        <v>94</v>
      </c>
      <c r="E19" s="2" t="s">
        <v>55</v>
      </c>
      <c r="F19" s="2"/>
      <c r="G19" s="2"/>
      <c r="H19" s="2" t="s">
        <v>757</v>
      </c>
      <c r="I19" s="2" t="s">
        <v>254</v>
      </c>
      <c r="J19" s="2"/>
      <c r="K19" s="2"/>
      <c r="L19" s="15">
        <v>43525</v>
      </c>
      <c r="M19" s="24">
        <v>80</v>
      </c>
      <c r="N19" s="2" t="s">
        <v>156</v>
      </c>
      <c r="O19" s="3">
        <v>29118</v>
      </c>
      <c r="P19" s="3">
        <v>19772</v>
      </c>
      <c r="Q19" s="3">
        <f>O19+P19</f>
        <v>48890</v>
      </c>
      <c r="R19" s="2">
        <f t="shared" si="2"/>
        <v>66</v>
      </c>
      <c r="S19" s="2">
        <f t="shared" si="3"/>
        <v>384</v>
      </c>
      <c r="T19" s="2">
        <f t="shared" si="4"/>
        <v>325</v>
      </c>
      <c r="U19" s="11">
        <f t="shared" si="5"/>
        <v>2</v>
      </c>
      <c r="V19" s="2">
        <v>55.6</v>
      </c>
      <c r="W19" s="2">
        <f t="shared" si="6"/>
        <v>62.93</v>
      </c>
      <c r="X19" s="2">
        <f t="shared" si="7"/>
        <v>53.9</v>
      </c>
      <c r="Y19" s="2"/>
      <c r="Z19" s="41">
        <v>22465</v>
      </c>
      <c r="AA19" s="41">
        <v>1436</v>
      </c>
      <c r="AB19" s="40">
        <v>66</v>
      </c>
      <c r="AC19" s="41">
        <v>1458</v>
      </c>
      <c r="AD19" s="2"/>
      <c r="AE19" s="97">
        <v>22</v>
      </c>
      <c r="AF19" s="2" t="s">
        <v>876</v>
      </c>
    </row>
    <row r="20" spans="1:32" s="18" customFormat="1" x14ac:dyDescent="0.25">
      <c r="A20" s="11">
        <v>53</v>
      </c>
      <c r="B20" s="2" t="s">
        <v>395</v>
      </c>
      <c r="C20" s="2" t="s">
        <v>834</v>
      </c>
      <c r="D20" s="2" t="s">
        <v>92</v>
      </c>
      <c r="E20" s="2" t="s">
        <v>55</v>
      </c>
      <c r="F20" s="2"/>
      <c r="G20" s="2"/>
      <c r="H20" s="2" t="s">
        <v>757</v>
      </c>
      <c r="I20" s="2"/>
      <c r="J20" s="2"/>
      <c r="K20" s="2"/>
      <c r="L20" s="2"/>
      <c r="M20" s="105">
        <v>90</v>
      </c>
      <c r="N20" s="2" t="s">
        <v>156</v>
      </c>
      <c r="O20" s="2"/>
      <c r="P20" s="2"/>
      <c r="Q20" s="2"/>
      <c r="R20" s="11">
        <f t="shared" si="2"/>
        <v>67</v>
      </c>
      <c r="S20" s="11">
        <f t="shared" si="3"/>
        <v>775</v>
      </c>
      <c r="T20" s="11">
        <f t="shared" si="4"/>
        <v>425</v>
      </c>
      <c r="U20" s="11">
        <f t="shared" si="5"/>
        <v>6</v>
      </c>
      <c r="V20" s="2"/>
      <c r="W20" s="2">
        <f t="shared" si="6"/>
        <v>50.95</v>
      </c>
      <c r="X20" s="2">
        <f t="shared" si="7"/>
        <v>49.4</v>
      </c>
      <c r="Y20" s="2"/>
      <c r="Z20" s="12">
        <v>49284</v>
      </c>
      <c r="AA20" s="12">
        <v>1586</v>
      </c>
      <c r="AB20" s="2">
        <v>58</v>
      </c>
      <c r="AC20" s="12">
        <v>1913</v>
      </c>
      <c r="AD20" s="2"/>
      <c r="AE20" s="13"/>
      <c r="AF20" s="2" t="s">
        <v>877</v>
      </c>
    </row>
    <row r="21" spans="1:32" s="18" customFormat="1" x14ac:dyDescent="0.25">
      <c r="A21" s="11">
        <v>16</v>
      </c>
      <c r="B21" s="51" t="s">
        <v>390</v>
      </c>
      <c r="C21" s="2" t="s">
        <v>64</v>
      </c>
      <c r="D21" s="2" t="s">
        <v>65</v>
      </c>
      <c r="E21" s="2" t="s">
        <v>63</v>
      </c>
      <c r="F21" s="2">
        <v>50</v>
      </c>
      <c r="G21" s="2"/>
      <c r="H21" s="2" t="s">
        <v>754</v>
      </c>
      <c r="I21" s="2" t="s">
        <v>246</v>
      </c>
      <c r="J21" s="2"/>
      <c r="K21" s="2"/>
      <c r="L21" s="15">
        <v>43449</v>
      </c>
      <c r="M21" s="24">
        <v>100</v>
      </c>
      <c r="N21" s="2" t="s">
        <v>157</v>
      </c>
      <c r="O21" s="3">
        <v>1060</v>
      </c>
      <c r="P21" s="3">
        <f>2250*12</f>
        <v>27000</v>
      </c>
      <c r="Q21" s="3">
        <f>O21+P21</f>
        <v>28060</v>
      </c>
      <c r="R21" s="2">
        <f t="shared" si="2"/>
        <v>23</v>
      </c>
      <c r="S21" s="2">
        <f t="shared" si="3"/>
        <v>7</v>
      </c>
      <c r="T21" s="2">
        <f t="shared" si="4"/>
        <v>9</v>
      </c>
      <c r="U21" s="11">
        <f t="shared" si="5"/>
        <v>5</v>
      </c>
      <c r="V21" s="2"/>
      <c r="W21" s="2">
        <f t="shared" si="6"/>
        <v>41.68</v>
      </c>
      <c r="X21" s="2">
        <f t="shared" si="7"/>
        <v>81.3</v>
      </c>
      <c r="Y21" s="2"/>
      <c r="Z21" s="41">
        <v>18003</v>
      </c>
      <c r="AA21" s="41">
        <v>6863</v>
      </c>
      <c r="AB21" s="40">
        <v>74</v>
      </c>
      <c r="AC21" s="41">
        <v>2621</v>
      </c>
      <c r="AD21" s="2" t="s">
        <v>195</v>
      </c>
      <c r="AE21" s="97">
        <v>7</v>
      </c>
      <c r="AF21" s="2"/>
    </row>
    <row r="22" spans="1:32" s="18" customFormat="1" x14ac:dyDescent="0.25">
      <c r="A22" s="11">
        <v>18</v>
      </c>
      <c r="B22" s="51" t="s">
        <v>44</v>
      </c>
      <c r="C22" s="2" t="s">
        <v>45</v>
      </c>
      <c r="D22" s="2" t="s">
        <v>65</v>
      </c>
      <c r="E22" s="2" t="s">
        <v>97</v>
      </c>
      <c r="F22" s="2">
        <v>70</v>
      </c>
      <c r="G22" s="2"/>
      <c r="H22" s="2" t="s">
        <v>756</v>
      </c>
      <c r="I22" s="2" t="s">
        <v>256</v>
      </c>
      <c r="J22" s="2"/>
      <c r="K22" s="2"/>
      <c r="L22" s="2"/>
      <c r="M22" s="24">
        <v>100</v>
      </c>
      <c r="N22" s="2" t="s">
        <v>161</v>
      </c>
      <c r="O22" s="3">
        <v>30500</v>
      </c>
      <c r="P22" s="3">
        <v>11768</v>
      </c>
      <c r="Q22" s="3">
        <f>O22+P22</f>
        <v>42268</v>
      </c>
      <c r="R22" s="2">
        <f t="shared" si="2"/>
        <v>25</v>
      </c>
      <c r="S22" s="2">
        <f t="shared" si="3"/>
        <v>8</v>
      </c>
      <c r="T22" s="2">
        <f t="shared" si="4"/>
        <v>12</v>
      </c>
      <c r="U22" s="11">
        <f t="shared" si="5"/>
        <v>75</v>
      </c>
      <c r="V22" s="2">
        <v>14.3</v>
      </c>
      <c r="W22" s="2">
        <f t="shared" si="6"/>
        <v>49.87</v>
      </c>
      <c r="X22" s="2">
        <f t="shared" si="7"/>
        <v>88.9</v>
      </c>
      <c r="Y22" s="2"/>
      <c r="Z22" s="41">
        <v>16797</v>
      </c>
      <c r="AA22" s="41">
        <v>9395</v>
      </c>
      <c r="AB22" s="40">
        <v>53</v>
      </c>
      <c r="AC22" s="41">
        <v>3883</v>
      </c>
      <c r="AD22" s="2"/>
      <c r="AE22" s="97">
        <v>5</v>
      </c>
      <c r="AF22" s="2" t="s">
        <v>293</v>
      </c>
    </row>
    <row r="23" spans="1:32" s="18" customFormat="1" x14ac:dyDescent="0.25">
      <c r="A23" s="11">
        <v>19</v>
      </c>
      <c r="B23" s="51" t="s">
        <v>50</v>
      </c>
      <c r="C23" s="2" t="s">
        <v>100</v>
      </c>
      <c r="D23" s="2" t="s">
        <v>65</v>
      </c>
      <c r="E23" s="2" t="s">
        <v>63</v>
      </c>
      <c r="F23" s="2">
        <v>60</v>
      </c>
      <c r="G23" s="2"/>
      <c r="H23" s="2" t="s">
        <v>756</v>
      </c>
      <c r="I23" s="2" t="s">
        <v>246</v>
      </c>
      <c r="J23" s="2">
        <v>1</v>
      </c>
      <c r="K23" s="15">
        <v>43480</v>
      </c>
      <c r="L23" s="15">
        <v>43570</v>
      </c>
      <c r="M23" s="24" t="s">
        <v>274</v>
      </c>
      <c r="N23" s="2" t="s">
        <v>157</v>
      </c>
      <c r="O23" s="3">
        <v>1266</v>
      </c>
      <c r="P23" s="3">
        <v>24100</v>
      </c>
      <c r="Q23" s="3">
        <f>O23+P23</f>
        <v>25366</v>
      </c>
      <c r="R23" s="2">
        <f t="shared" si="2"/>
        <v>27</v>
      </c>
      <c r="S23" s="2">
        <f t="shared" si="3"/>
        <v>22</v>
      </c>
      <c r="T23" s="2">
        <f t="shared" si="4"/>
        <v>18</v>
      </c>
      <c r="U23" s="11">
        <f t="shared" si="5"/>
        <v>0</v>
      </c>
      <c r="V23" s="2"/>
      <c r="W23" s="2">
        <f t="shared" si="6"/>
        <v>48.48</v>
      </c>
      <c r="X23" s="2">
        <f t="shared" si="7"/>
        <v>78.400000000000006</v>
      </c>
      <c r="Y23" s="2"/>
      <c r="Z23" s="41">
        <v>10492</v>
      </c>
      <c r="AA23" s="41">
        <v>6155</v>
      </c>
      <c r="AB23" s="40">
        <v>56</v>
      </c>
      <c r="AC23" s="41">
        <v>1744</v>
      </c>
      <c r="AD23" s="2"/>
      <c r="AE23" s="97">
        <v>7</v>
      </c>
      <c r="AF23" s="2"/>
    </row>
    <row r="24" spans="1:32" s="18" customFormat="1" x14ac:dyDescent="0.25">
      <c r="A24" s="11">
        <v>24</v>
      </c>
      <c r="B24" s="51" t="s">
        <v>417</v>
      </c>
      <c r="C24" s="2" t="s">
        <v>86</v>
      </c>
      <c r="D24" s="2" t="s">
        <v>65</v>
      </c>
      <c r="E24" s="2" t="s">
        <v>87</v>
      </c>
      <c r="F24" s="2">
        <v>60</v>
      </c>
      <c r="G24" s="2"/>
      <c r="H24" s="2" t="s">
        <v>756</v>
      </c>
      <c r="I24" s="2" t="s">
        <v>804</v>
      </c>
      <c r="J24" s="2"/>
      <c r="K24" s="2"/>
      <c r="L24" s="15">
        <v>43449</v>
      </c>
      <c r="M24" s="24">
        <v>100</v>
      </c>
      <c r="N24" s="2" t="s">
        <v>159</v>
      </c>
      <c r="O24" s="3">
        <v>8604.66</v>
      </c>
      <c r="P24" s="3">
        <f xml:space="preserve"> 16884 + 923</f>
        <v>17807</v>
      </c>
      <c r="Q24" s="3">
        <f>O24+P24</f>
        <v>26411.66</v>
      </c>
      <c r="R24" s="2">
        <f t="shared" si="2"/>
        <v>33</v>
      </c>
      <c r="S24" s="2">
        <f t="shared" si="3"/>
        <v>47</v>
      </c>
      <c r="T24" s="2">
        <f t="shared" si="4"/>
        <v>34</v>
      </c>
      <c r="U24" s="11">
        <f t="shared" si="5"/>
        <v>13</v>
      </c>
      <c r="V24" s="2">
        <v>52.4</v>
      </c>
      <c r="W24" s="2">
        <f t="shared" si="6"/>
        <v>51.55</v>
      </c>
      <c r="X24" s="2">
        <f t="shared" si="7"/>
        <v>79.3</v>
      </c>
      <c r="Y24" s="2"/>
      <c r="Z24" s="41">
        <v>52970</v>
      </c>
      <c r="AA24" s="41">
        <v>13136</v>
      </c>
      <c r="AB24" s="40">
        <v>23</v>
      </c>
      <c r="AC24" s="41">
        <v>4702</v>
      </c>
      <c r="AD24" s="2"/>
      <c r="AE24" s="97">
        <v>19</v>
      </c>
      <c r="AF24" s="2"/>
    </row>
    <row r="25" spans="1:32" s="18" customFormat="1" x14ac:dyDescent="0.25">
      <c r="A25" s="11">
        <v>40</v>
      </c>
      <c r="B25" s="51" t="s">
        <v>21</v>
      </c>
      <c r="C25" s="2" t="s">
        <v>85</v>
      </c>
      <c r="D25" s="2" t="s">
        <v>65</v>
      </c>
      <c r="E25" s="2" t="s">
        <v>84</v>
      </c>
      <c r="F25" s="2">
        <v>60</v>
      </c>
      <c r="G25" s="2"/>
      <c r="H25" s="2" t="s">
        <v>757</v>
      </c>
      <c r="I25" s="9" t="s">
        <v>252</v>
      </c>
      <c r="J25" s="2"/>
      <c r="K25" s="2"/>
      <c r="L25" s="15">
        <v>43191</v>
      </c>
      <c r="M25" s="24">
        <v>90</v>
      </c>
      <c r="N25" s="2" t="s">
        <v>165</v>
      </c>
      <c r="O25" s="3">
        <v>15575</v>
      </c>
      <c r="P25" s="3">
        <v>10824</v>
      </c>
      <c r="Q25" s="3">
        <f>O25+P25</f>
        <v>26399</v>
      </c>
      <c r="R25" s="2">
        <f t="shared" si="2"/>
        <v>51</v>
      </c>
      <c r="S25" s="2">
        <f t="shared" si="3"/>
        <v>52</v>
      </c>
      <c r="T25" s="2">
        <f t="shared" si="4"/>
        <v>75</v>
      </c>
      <c r="U25" s="11">
        <f t="shared" si="5"/>
        <v>13</v>
      </c>
      <c r="V25" s="2" t="s">
        <v>65</v>
      </c>
      <c r="W25" s="2">
        <f t="shared" si="6"/>
        <v>76.34</v>
      </c>
      <c r="X25" s="2">
        <f t="shared" si="7"/>
        <v>72.3</v>
      </c>
      <c r="Y25" s="2"/>
      <c r="Z25" s="41">
        <v>17703</v>
      </c>
      <c r="AA25" s="41">
        <v>4967</v>
      </c>
      <c r="AB25" s="40">
        <v>86</v>
      </c>
      <c r="AC25" s="41">
        <v>1771</v>
      </c>
      <c r="AD25" s="2"/>
      <c r="AE25" s="97">
        <v>11</v>
      </c>
      <c r="AF25" s="2" t="s">
        <v>830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G16 H17:H24 H25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Universities Selection</vt:lpstr>
      <vt:lpstr>Yocket Data</vt:lpstr>
      <vt:lpstr>Additional Comments</vt:lpstr>
      <vt:lpstr>Other Programs</vt:lpstr>
      <vt:lpstr>Relevant Programs</vt:lpstr>
      <vt:lpstr>Rankings_Exp</vt:lpstr>
      <vt:lpstr>CS_Ranking_Lkp</vt:lpstr>
      <vt:lpstr>Citites</vt:lpstr>
      <vt:lpstr>Deprecated Universities</vt:lpstr>
      <vt:lpstr>Rankings</vt:lpstr>
      <vt:lpstr>Application Checklist</vt:lpstr>
      <vt:lpstr>University Application</vt:lpstr>
      <vt:lpstr>Reference</vt:lpstr>
      <vt:lpstr>A1\</vt:lpstr>
      <vt:lpstr>AI_Rank</vt:lpstr>
      <vt:lpstr>Rankings_Exp!Back_Lkp</vt:lpstr>
      <vt:lpstr>Back_Lkp</vt:lpstr>
      <vt:lpstr>Cities</vt:lpstr>
      <vt:lpstr>InterD_Rank</vt:lpstr>
      <vt:lpstr>Overall_Rank</vt:lpstr>
      <vt:lpstr>Rank_Data_All</vt:lpstr>
      <vt:lpstr>States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2018-09-03T22:41:52Z</dcterms:modified>
</cp:coreProperties>
</file>