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60C4697C-24BB-445D-A3C3-7FA3527E98B9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Additional Comments" sheetId="12" r:id="rId2"/>
    <sheet name="Relevant Programs" sheetId="5" r:id="rId3"/>
    <sheet name="Rankings_Exp" sheetId="10" r:id="rId4"/>
    <sheet name="Rankings" sheetId="9" r:id="rId5"/>
    <sheet name="CanBeAdded" sheetId="7" r:id="rId6"/>
    <sheet name="CS_Ranking_Lkp" sheetId="8" r:id="rId7"/>
    <sheet name="Citites" sheetId="6" r:id="rId8"/>
    <sheet name="Deprecated Universities" sheetId="13" r:id="rId9"/>
    <sheet name="Application Checklist" sheetId="4" r:id="rId10"/>
    <sheet name="University Application" sheetId="1" r:id="rId11"/>
    <sheet name="Reference" sheetId="14" r:id="rId12"/>
  </sheets>
  <definedNames>
    <definedName name="_xlnm._FilterDatabase" localSheetId="3" hidden="1">Rankings_Exp!$A$1:$AM$64</definedName>
    <definedName name="_xlnm._FilterDatabase" localSheetId="0" hidden="1">'Universities Selection'!$A$1:$AH$45</definedName>
    <definedName name="AI_Rank">CS_Ranking_Lkp!$B$3:$E$211</definedName>
    <definedName name="Back_Lkp" localSheetId="3">Rankings_Exp!$B$2:$D$59</definedName>
    <definedName name="Back_Lkp">Rankings!$B$3:$C$60</definedName>
    <definedName name="InterD_Rank">CS_Ranking_Lkp!$W$3:$Z$119</definedName>
    <definedName name="Overall_Rank">Rankings_Exp!$B$2:$C$59</definedName>
    <definedName name="Rank_Data_All">Rankings_Exp!$B$2:$AM$59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2" i="3"/>
  <c r="P16" i="13"/>
  <c r="S16" i="13"/>
  <c r="V16" i="13"/>
  <c r="W16" i="13"/>
  <c r="O12" i="3"/>
  <c r="N12" i="3"/>
  <c r="P12" i="3" s="1"/>
  <c r="O17" i="3"/>
  <c r="P17" i="3" s="1"/>
  <c r="P3" i="3"/>
  <c r="O15" i="13" l="1"/>
  <c r="O14" i="13"/>
  <c r="P30" i="3"/>
  <c r="P16" i="3" l="1"/>
  <c r="O13" i="13"/>
  <c r="O12" i="13"/>
  <c r="O11" i="13"/>
  <c r="S10" i="13" l="1"/>
  <c r="S9" i="13"/>
  <c r="A9" i="13"/>
  <c r="S8" i="13"/>
  <c r="R7" i="13"/>
  <c r="S7" i="13" s="1"/>
  <c r="A7" i="13"/>
  <c r="A8" i="13" s="1"/>
  <c r="R6" i="13"/>
  <c r="S6" i="13" s="1"/>
  <c r="A6" i="13"/>
  <c r="R5" i="13"/>
  <c r="S5" i="13" s="1"/>
  <c r="A5" i="13"/>
  <c r="Q4" i="13"/>
  <c r="S4" i="13" s="1"/>
  <c r="R2" i="13"/>
  <c r="S2" i="13" s="1"/>
  <c r="A2" i="13"/>
  <c r="A3" i="13" s="1"/>
  <c r="A4" i="13" s="1"/>
  <c r="R3" i="13" l="1"/>
  <c r="S3" i="13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2" i="10"/>
  <c r="D63" i="10"/>
  <c r="D60" i="10"/>
  <c r="L57" i="10" l="1"/>
  <c r="L3" i="10"/>
  <c r="L4" i="10"/>
  <c r="L5" i="10"/>
  <c r="L9" i="10"/>
  <c r="L6" i="10"/>
  <c r="L20" i="10"/>
  <c r="L19" i="10"/>
  <c r="L22" i="10"/>
  <c r="L13" i="10"/>
  <c r="L10" i="10"/>
  <c r="L7" i="10"/>
  <c r="L17" i="10"/>
  <c r="L8" i="10"/>
  <c r="L11" i="10"/>
  <c r="L26" i="10"/>
  <c r="L25" i="10"/>
  <c r="L14" i="10"/>
  <c r="L12" i="10"/>
  <c r="L15" i="10"/>
  <c r="L27" i="10"/>
  <c r="L28" i="10"/>
  <c r="L16" i="10"/>
  <c r="L21" i="10"/>
  <c r="L36" i="10"/>
  <c r="L24" i="10"/>
  <c r="L23" i="10"/>
  <c r="L18" i="10"/>
  <c r="L29" i="10"/>
  <c r="L32" i="10"/>
  <c r="L31" i="10"/>
  <c r="L37" i="10"/>
  <c r="L30" i="10"/>
  <c r="L33" i="10"/>
  <c r="L34" i="10"/>
  <c r="L35" i="10"/>
  <c r="L39" i="10"/>
  <c r="L43" i="10"/>
  <c r="L42" i="10"/>
  <c r="L38" i="10"/>
  <c r="L40" i="10"/>
  <c r="L46" i="10"/>
  <c r="L54" i="10"/>
  <c r="L41" i="10"/>
  <c r="L44" i="10"/>
  <c r="L55" i="10"/>
  <c r="L47" i="10"/>
  <c r="L48" i="10"/>
  <c r="L45" i="10"/>
  <c r="L51" i="10"/>
  <c r="L49" i="10"/>
  <c r="L50" i="10"/>
  <c r="L52" i="10"/>
  <c r="L53" i="10"/>
  <c r="L56" i="10"/>
  <c r="L59" i="10"/>
  <c r="K57" i="10"/>
  <c r="K3" i="10"/>
  <c r="K4" i="10"/>
  <c r="K5" i="10"/>
  <c r="K9" i="10"/>
  <c r="K6" i="10"/>
  <c r="K20" i="10"/>
  <c r="K19" i="10"/>
  <c r="K22" i="10"/>
  <c r="K13" i="10"/>
  <c r="K10" i="10"/>
  <c r="K7" i="10"/>
  <c r="K17" i="10"/>
  <c r="K8" i="10"/>
  <c r="K11" i="10"/>
  <c r="K26" i="10"/>
  <c r="K25" i="10"/>
  <c r="K14" i="10"/>
  <c r="K12" i="10"/>
  <c r="K15" i="10"/>
  <c r="K27" i="10"/>
  <c r="K28" i="10"/>
  <c r="K16" i="10"/>
  <c r="K21" i="10"/>
  <c r="K36" i="10"/>
  <c r="K24" i="10"/>
  <c r="K23" i="10"/>
  <c r="K18" i="10"/>
  <c r="K29" i="10"/>
  <c r="K32" i="10"/>
  <c r="K31" i="10"/>
  <c r="K37" i="10"/>
  <c r="K30" i="10"/>
  <c r="K33" i="10"/>
  <c r="K34" i="10"/>
  <c r="K35" i="10"/>
  <c r="K39" i="10"/>
  <c r="K43" i="10"/>
  <c r="K42" i="10"/>
  <c r="K38" i="10"/>
  <c r="K40" i="10"/>
  <c r="K46" i="10"/>
  <c r="K54" i="10"/>
  <c r="K41" i="10"/>
  <c r="K44" i="10"/>
  <c r="K55" i="10"/>
  <c r="K47" i="10"/>
  <c r="K48" i="10"/>
  <c r="K45" i="10"/>
  <c r="K51" i="10"/>
  <c r="K49" i="10"/>
  <c r="K50" i="10"/>
  <c r="K52" i="10"/>
  <c r="K53" i="10"/>
  <c r="K56" i="10"/>
  <c r="K59" i="10"/>
  <c r="J3" i="10"/>
  <c r="V14" i="13" s="1"/>
  <c r="J4" i="10"/>
  <c r="Y2" i="3" s="1"/>
  <c r="J5" i="10"/>
  <c r="Y3" i="3" s="1"/>
  <c r="J9" i="10"/>
  <c r="J6" i="10"/>
  <c r="Y4" i="3" s="1"/>
  <c r="J20" i="10"/>
  <c r="J19" i="10"/>
  <c r="J22" i="10"/>
  <c r="Y15" i="3" s="1"/>
  <c r="J13" i="10"/>
  <c r="Y9" i="3" s="1"/>
  <c r="J10" i="10"/>
  <c r="Y7" i="3" s="1"/>
  <c r="J7" i="10"/>
  <c r="Y5" i="3" s="1"/>
  <c r="J17" i="10"/>
  <c r="V12" i="13" s="1"/>
  <c r="J8" i="10"/>
  <c r="Y6" i="3" s="1"/>
  <c r="J11" i="10"/>
  <c r="J26" i="10"/>
  <c r="J25" i="10"/>
  <c r="Y18" i="3" s="1"/>
  <c r="J14" i="10"/>
  <c r="Y10" i="3" s="1"/>
  <c r="J12" i="10"/>
  <c r="Y8" i="3" s="1"/>
  <c r="J15" i="10"/>
  <c r="Y11" i="3" s="1"/>
  <c r="J27" i="10"/>
  <c r="Y19" i="3" s="1"/>
  <c r="J28" i="10"/>
  <c r="J16" i="10"/>
  <c r="Y12" i="3" s="1"/>
  <c r="J21" i="10"/>
  <c r="Y14" i="3" s="1"/>
  <c r="J36" i="10"/>
  <c r="V15" i="13" s="1"/>
  <c r="J24" i="10"/>
  <c r="Y17" i="3" s="1"/>
  <c r="J23" i="10"/>
  <c r="Y16" i="3" s="1"/>
  <c r="J18" i="10"/>
  <c r="Y13" i="3" s="1"/>
  <c r="J29" i="10"/>
  <c r="Y20" i="3" s="1"/>
  <c r="J32" i="10"/>
  <c r="Y23" i="3" s="1"/>
  <c r="J31" i="10"/>
  <c r="Y22" i="3" s="1"/>
  <c r="J37" i="10"/>
  <c r="Y27" i="3" s="1"/>
  <c r="J30" i="10"/>
  <c r="Y21" i="3" s="1"/>
  <c r="J33" i="10"/>
  <c r="Y24" i="3" s="1"/>
  <c r="J34" i="10"/>
  <c r="Y25" i="3" s="1"/>
  <c r="J35" i="10"/>
  <c r="Y26" i="3" s="1"/>
  <c r="J39" i="10"/>
  <c r="Y29" i="3" s="1"/>
  <c r="J43" i="10"/>
  <c r="J42" i="10"/>
  <c r="Y32" i="3" s="1"/>
  <c r="J38" i="10"/>
  <c r="Y28" i="3" s="1"/>
  <c r="J40" i="10"/>
  <c r="Y30" i="3" s="1"/>
  <c r="J46" i="10"/>
  <c r="Y35" i="3" s="1"/>
  <c r="J54" i="10"/>
  <c r="J41" i="10"/>
  <c r="Y31" i="3" s="1"/>
  <c r="J44" i="10"/>
  <c r="Y33" i="3" s="1"/>
  <c r="J55" i="10"/>
  <c r="J47" i="10"/>
  <c r="Y36" i="3" s="1"/>
  <c r="J48" i="10"/>
  <c r="Y37" i="3" s="1"/>
  <c r="J45" i="10"/>
  <c r="Y34" i="3" s="1"/>
  <c r="J51" i="10"/>
  <c r="Y40" i="3" s="1"/>
  <c r="J49" i="10"/>
  <c r="Y38" i="3" s="1"/>
  <c r="J50" i="10"/>
  <c r="Y39" i="3" s="1"/>
  <c r="J52" i="10"/>
  <c r="Y41" i="3" s="1"/>
  <c r="J53" i="10"/>
  <c r="Y42" i="3" s="1"/>
  <c r="J56" i="10"/>
  <c r="Y43" i="3" s="1"/>
  <c r="J59" i="10"/>
  <c r="Y45" i="3" s="1"/>
  <c r="J57" i="10"/>
  <c r="Y44" i="3" s="1"/>
  <c r="L2" i="10"/>
  <c r="K2" i="10"/>
  <c r="J2" i="10"/>
  <c r="V11" i="13" s="1"/>
  <c r="I3" i="10"/>
  <c r="I4" i="10"/>
  <c r="I5" i="10"/>
  <c r="I9" i="10"/>
  <c r="I6" i="10"/>
  <c r="I20" i="10"/>
  <c r="I19" i="10"/>
  <c r="I22" i="10"/>
  <c r="I13" i="10"/>
  <c r="I10" i="10"/>
  <c r="I7" i="10"/>
  <c r="I17" i="10"/>
  <c r="I8" i="10"/>
  <c r="I11" i="10"/>
  <c r="I26" i="10"/>
  <c r="I25" i="10"/>
  <c r="I14" i="10"/>
  <c r="I12" i="10"/>
  <c r="I15" i="10"/>
  <c r="I27" i="10"/>
  <c r="I28" i="10"/>
  <c r="I16" i="10"/>
  <c r="I21" i="10"/>
  <c r="I36" i="10"/>
  <c r="I24" i="10"/>
  <c r="I23" i="10"/>
  <c r="I18" i="10"/>
  <c r="I29" i="10"/>
  <c r="I32" i="10"/>
  <c r="I31" i="10"/>
  <c r="I37" i="10"/>
  <c r="I30" i="10"/>
  <c r="I33" i="10"/>
  <c r="I34" i="10"/>
  <c r="I35" i="10"/>
  <c r="I39" i="10"/>
  <c r="I43" i="10"/>
  <c r="I42" i="10"/>
  <c r="I38" i="10"/>
  <c r="I40" i="10"/>
  <c r="I46" i="10"/>
  <c r="I54" i="10"/>
  <c r="I41" i="10"/>
  <c r="I44" i="10"/>
  <c r="I55" i="10"/>
  <c r="I47" i="10"/>
  <c r="I48" i="10"/>
  <c r="I45" i="10"/>
  <c r="I51" i="10"/>
  <c r="I49" i="10"/>
  <c r="I50" i="10"/>
  <c r="I52" i="10"/>
  <c r="I53" i="10"/>
  <c r="I56" i="10"/>
  <c r="I59" i="10"/>
  <c r="I57" i="10"/>
  <c r="I2" i="10"/>
  <c r="V13" i="13" l="1"/>
  <c r="I63" i="10"/>
  <c r="L61" i="10"/>
  <c r="J62" i="10"/>
  <c r="K62" i="10"/>
  <c r="K61" i="10"/>
  <c r="J63" i="10"/>
  <c r="L60" i="10"/>
  <c r="I60" i="10"/>
  <c r="I61" i="10"/>
  <c r="J60" i="10"/>
  <c r="K63" i="10"/>
  <c r="L62" i="10"/>
  <c r="I62" i="10"/>
  <c r="J61" i="10"/>
  <c r="K60" i="10"/>
  <c r="L6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4" i="10" l="1"/>
  <c r="I64" i="10"/>
  <c r="K64" i="10"/>
  <c r="J64" i="10"/>
  <c r="F63" i="10"/>
  <c r="F62" i="10"/>
  <c r="F61" i="10"/>
  <c r="F60" i="10"/>
  <c r="D62" i="10"/>
  <c r="D61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AI7" i="10"/>
  <c r="AG7" i="10"/>
  <c r="AE7" i="10"/>
  <c r="AC7" i="10"/>
  <c r="AA7" i="10"/>
  <c r="Y7" i="10"/>
  <c r="W7" i="10"/>
  <c r="U7" i="10"/>
  <c r="S7" i="10"/>
  <c r="Q7" i="10"/>
  <c r="O7" i="10"/>
  <c r="M7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AI6" i="10"/>
  <c r="AG6" i="10"/>
  <c r="AE6" i="10"/>
  <c r="AC6" i="10"/>
  <c r="AA6" i="10"/>
  <c r="Y6" i="10"/>
  <c r="W6" i="10"/>
  <c r="U6" i="10"/>
  <c r="S6" i="10"/>
  <c r="Q6" i="10"/>
  <c r="O6" i="10"/>
  <c r="M6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AI44" i="10"/>
  <c r="AG44" i="10"/>
  <c r="AE44" i="10"/>
  <c r="AC44" i="10"/>
  <c r="AA44" i="10"/>
  <c r="Y44" i="10"/>
  <c r="Q44" i="10"/>
  <c r="O44" i="10"/>
  <c r="M44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W43" i="10"/>
  <c r="U43" i="10"/>
  <c r="S43" i="10"/>
  <c r="Q43" i="10"/>
  <c r="O43" i="10"/>
  <c r="M43" i="10"/>
  <c r="W27" i="10"/>
  <c r="U27" i="10"/>
  <c r="S27" i="10"/>
  <c r="Q27" i="10"/>
  <c r="O27" i="10"/>
  <c r="M27" i="10"/>
  <c r="AI5" i="10"/>
  <c r="AG5" i="10"/>
  <c r="AE5" i="10"/>
  <c r="AC5" i="10"/>
  <c r="AA5" i="10"/>
  <c r="Y5" i="10"/>
  <c r="W5" i="10"/>
  <c r="U5" i="10"/>
  <c r="S5" i="10"/>
  <c r="Q5" i="10"/>
  <c r="O5" i="10"/>
  <c r="M5" i="10"/>
  <c r="W28" i="10"/>
  <c r="U28" i="10"/>
  <c r="S28" i="10"/>
  <c r="Q28" i="10"/>
  <c r="O28" i="10"/>
  <c r="M28" i="10"/>
  <c r="W19" i="10"/>
  <c r="U19" i="10"/>
  <c r="S19" i="10"/>
  <c r="Q19" i="10"/>
  <c r="O19" i="10"/>
  <c r="M19" i="10"/>
  <c r="W26" i="10"/>
  <c r="U26" i="10"/>
  <c r="S26" i="10"/>
  <c r="Q26" i="10"/>
  <c r="O26" i="10"/>
  <c r="M26" i="10"/>
  <c r="W25" i="10"/>
  <c r="U25" i="10"/>
  <c r="S25" i="10"/>
  <c r="Q25" i="10"/>
  <c r="O25" i="10"/>
  <c r="M25" i="10"/>
  <c r="W20" i="10"/>
  <c r="U20" i="10"/>
  <c r="S20" i="10"/>
  <c r="Q20" i="10"/>
  <c r="O20" i="10"/>
  <c r="M20" i="10"/>
  <c r="AC36" i="10"/>
  <c r="AA36" i="10"/>
  <c r="Y36" i="10"/>
  <c r="W36" i="10"/>
  <c r="U36" i="10"/>
  <c r="S36" i="10"/>
  <c r="Q36" i="10"/>
  <c r="O36" i="10"/>
  <c r="M36" i="10"/>
  <c r="AI3" i="10"/>
  <c r="AG3" i="10"/>
  <c r="AE3" i="10"/>
  <c r="AC3" i="10"/>
  <c r="AA3" i="10"/>
  <c r="Y3" i="10"/>
  <c r="W3" i="10"/>
  <c r="U3" i="10"/>
  <c r="S3" i="10"/>
  <c r="Q3" i="10"/>
  <c r="O3" i="10"/>
  <c r="M3" i="10"/>
  <c r="AI2" i="10"/>
  <c r="AG2" i="10"/>
  <c r="AE2" i="10"/>
  <c r="AC2" i="10"/>
  <c r="AA2" i="10"/>
  <c r="Y2" i="10"/>
  <c r="W2" i="10"/>
  <c r="U2" i="10"/>
  <c r="S2" i="10"/>
  <c r="Q2" i="10"/>
  <c r="O2" i="10"/>
  <c r="M2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W32" i="10"/>
  <c r="U32" i="10"/>
  <c r="S32" i="10"/>
  <c r="Q32" i="10"/>
  <c r="O32" i="10"/>
  <c r="M32" i="10"/>
  <c r="W46" i="10"/>
  <c r="U46" i="10"/>
  <c r="S46" i="10"/>
  <c r="Q46" i="10"/>
  <c r="O46" i="10"/>
  <c r="M46" i="10"/>
  <c r="AI52" i="10"/>
  <c r="AG52" i="10"/>
  <c r="AE52" i="10"/>
  <c r="AC52" i="10"/>
  <c r="AA52" i="10"/>
  <c r="Y52" i="10"/>
  <c r="Q52" i="10"/>
  <c r="O52" i="10"/>
  <c r="M52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9" i="10"/>
  <c r="AG9" i="10"/>
  <c r="AE9" i="10"/>
  <c r="AC9" i="10"/>
  <c r="AA9" i="10"/>
  <c r="Y9" i="10"/>
  <c r="W9" i="10"/>
  <c r="U9" i="10"/>
  <c r="S9" i="10"/>
  <c r="Q9" i="10"/>
  <c r="O9" i="10"/>
  <c r="M9" i="10"/>
  <c r="AI8" i="10"/>
  <c r="AG8" i="10"/>
  <c r="AE8" i="10"/>
  <c r="AC8" i="10"/>
  <c r="AA8" i="10"/>
  <c r="Y8" i="10"/>
  <c r="W8" i="10"/>
  <c r="U8" i="10"/>
  <c r="S8" i="10"/>
  <c r="Q8" i="10"/>
  <c r="O8" i="10"/>
  <c r="M8" i="10"/>
  <c r="W22" i="10"/>
  <c r="U22" i="10"/>
  <c r="S22" i="10"/>
  <c r="Q22" i="10"/>
  <c r="O22" i="10"/>
  <c r="M22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AI4" i="10"/>
  <c r="AG4" i="10"/>
  <c r="AE4" i="10"/>
  <c r="AC4" i="10"/>
  <c r="AA4" i="10"/>
  <c r="Y4" i="10"/>
  <c r="W4" i="10"/>
  <c r="U4" i="10"/>
  <c r="S4" i="10"/>
  <c r="Q4" i="10"/>
  <c r="O4" i="10"/>
  <c r="M4" i="10"/>
  <c r="AI51" i="10"/>
  <c r="AG51" i="10"/>
  <c r="AE51" i="10"/>
  <c r="AC51" i="10"/>
  <c r="AA51" i="10"/>
  <c r="Y51" i="10"/>
  <c r="Q51" i="10"/>
  <c r="O51" i="10"/>
  <c r="M51" i="10"/>
  <c r="E5" i="10" l="1"/>
  <c r="E55" i="10"/>
  <c r="E27" i="10"/>
  <c r="E23" i="10"/>
  <c r="E44" i="10"/>
  <c r="E22" i="10"/>
  <c r="E40" i="10"/>
  <c r="E31" i="10"/>
  <c r="E4" i="10"/>
  <c r="E6" i="10"/>
  <c r="E24" i="10"/>
  <c r="E45" i="10"/>
  <c r="E28" i="10"/>
  <c r="E57" i="10"/>
  <c r="E33" i="10"/>
  <c r="E14" i="10"/>
  <c r="E3" i="10"/>
  <c r="E10" i="10"/>
  <c r="E39" i="10"/>
  <c r="E56" i="10"/>
  <c r="E15" i="10"/>
  <c r="E47" i="10"/>
  <c r="E35" i="10"/>
  <c r="E17" i="10"/>
  <c r="E32" i="10"/>
  <c r="E46" i="10"/>
  <c r="E53" i="10"/>
  <c r="E34" i="10"/>
  <c r="E9" i="10"/>
  <c r="E49" i="10"/>
  <c r="E41" i="10"/>
  <c r="E20" i="10"/>
  <c r="E21" i="10"/>
  <c r="E37" i="10"/>
  <c r="E50" i="10"/>
  <c r="E16" i="10"/>
  <c r="E19" i="10"/>
  <c r="E52" i="10"/>
  <c r="E13" i="10"/>
  <c r="E7" i="10"/>
  <c r="E38" i="10"/>
  <c r="E2" i="10"/>
  <c r="E54" i="10"/>
  <c r="E36" i="10"/>
  <c r="E12" i="10"/>
  <c r="E25" i="10"/>
  <c r="E43" i="10"/>
  <c r="E42" i="10"/>
  <c r="E58" i="10"/>
  <c r="E29" i="10"/>
  <c r="E11" i="10"/>
  <c r="E59" i="10"/>
  <c r="E8" i="10"/>
  <c r="E30" i="10"/>
  <c r="E48" i="10"/>
  <c r="E26" i="10"/>
  <c r="E51" i="10"/>
  <c r="E18" i="10"/>
  <c r="G3" i="10"/>
  <c r="G20" i="10"/>
  <c r="G25" i="10"/>
  <c r="G10" i="10"/>
  <c r="G43" i="10"/>
  <c r="G39" i="10"/>
  <c r="G44" i="10"/>
  <c r="G4" i="10"/>
  <c r="G17" i="10"/>
  <c r="G13" i="10"/>
  <c r="G8" i="10"/>
  <c r="G6" i="10"/>
  <c r="G32" i="10"/>
  <c r="G7" i="10"/>
  <c r="G30" i="10"/>
  <c r="G24" i="10"/>
  <c r="G46" i="10"/>
  <c r="G38" i="10"/>
  <c r="G48" i="10"/>
  <c r="G45" i="10"/>
  <c r="G53" i="10"/>
  <c r="G2" i="10"/>
  <c r="G5" i="10"/>
  <c r="G22" i="10"/>
  <c r="G26" i="10"/>
  <c r="G28" i="10"/>
  <c r="G15" i="10"/>
  <c r="G14" i="10"/>
  <c r="G16" i="10"/>
  <c r="G34" i="10"/>
  <c r="G29" i="10"/>
  <c r="G54" i="10"/>
  <c r="G40" i="10"/>
  <c r="G51" i="10"/>
  <c r="G47" i="10"/>
  <c r="G57" i="10"/>
  <c r="G27" i="10"/>
  <c r="G23" i="10"/>
  <c r="G42" i="10"/>
  <c r="G50" i="10"/>
  <c r="G9" i="10"/>
  <c r="G19" i="10"/>
  <c r="G11" i="10"/>
  <c r="G36" i="10"/>
  <c r="G12" i="10"/>
  <c r="G31" i="10"/>
  <c r="G18" i="10"/>
  <c r="G35" i="10"/>
  <c r="G33" i="10"/>
  <c r="G55" i="10"/>
  <c r="G41" i="10"/>
  <c r="G52" i="10"/>
  <c r="G49" i="10"/>
  <c r="G59" i="10"/>
  <c r="G21" i="10"/>
  <c r="G37" i="10"/>
  <c r="G56" i="10"/>
  <c r="G58" i="10"/>
  <c r="F64" i="10"/>
  <c r="Y62" i="10"/>
  <c r="AG61" i="10"/>
  <c r="M63" i="10"/>
  <c r="AA62" i="10"/>
  <c r="AI62" i="10"/>
  <c r="S62" i="10"/>
  <c r="O63" i="10"/>
  <c r="W63" i="10"/>
  <c r="AE61" i="10"/>
  <c r="U62" i="10"/>
  <c r="AC60" i="10"/>
  <c r="O60" i="10"/>
  <c r="AC63" i="10"/>
  <c r="AD47" i="10" s="1"/>
  <c r="U63" i="10"/>
  <c r="V38" i="10" s="1"/>
  <c r="Q60" i="10"/>
  <c r="Q62" i="10"/>
  <c r="AE60" i="10"/>
  <c r="AE64" i="10" s="1"/>
  <c r="W61" i="10"/>
  <c r="S61" i="10"/>
  <c r="AA60" i="10"/>
  <c r="AC62" i="10"/>
  <c r="AE63" i="10"/>
  <c r="AF21" i="10" s="1"/>
  <c r="O61" i="10"/>
  <c r="Q61" i="10"/>
  <c r="W60" i="10"/>
  <c r="Y60" i="10"/>
  <c r="AA61" i="10"/>
  <c r="AC61" i="10"/>
  <c r="AI60" i="10"/>
  <c r="O62" i="10"/>
  <c r="W62" i="10"/>
  <c r="AE62" i="10"/>
  <c r="Q63" i="10"/>
  <c r="R3" i="10" s="1"/>
  <c r="Y63" i="10"/>
  <c r="Z3" i="10" s="1"/>
  <c r="AG63" i="10"/>
  <c r="M61" i="10"/>
  <c r="M60" i="10"/>
  <c r="M62" i="10"/>
  <c r="U60" i="10"/>
  <c r="Y61" i="10"/>
  <c r="AG60" i="10"/>
  <c r="AI61" i="10"/>
  <c r="AG62" i="10"/>
  <c r="S63" i="10"/>
  <c r="T47" i="10" s="1"/>
  <c r="AA63" i="10"/>
  <c r="AB52" i="10" s="1"/>
  <c r="AI63" i="10"/>
  <c r="AJ52" i="10" s="1"/>
  <c r="S60" i="10"/>
  <c r="S64" i="10" s="1"/>
  <c r="U61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AF17" i="10" l="1"/>
  <c r="R23" i="10"/>
  <c r="V50" i="10"/>
  <c r="V15" i="10"/>
  <c r="AF41" i="10"/>
  <c r="AB33" i="10"/>
  <c r="T12" i="10"/>
  <c r="AJ48" i="10"/>
  <c r="V41" i="10"/>
  <c r="V25" i="10"/>
  <c r="R18" i="10"/>
  <c r="R17" i="10"/>
  <c r="T40" i="10"/>
  <c r="Z36" i="10"/>
  <c r="R39" i="10"/>
  <c r="AD10" i="10"/>
  <c r="R45" i="10"/>
  <c r="AF10" i="10"/>
  <c r="V59" i="10"/>
  <c r="AJ4" i="10"/>
  <c r="T56" i="10"/>
  <c r="AJ16" i="10"/>
  <c r="V30" i="10"/>
  <c r="V8" i="10"/>
  <c r="R2" i="10"/>
  <c r="AH47" i="10"/>
  <c r="P26" i="10"/>
  <c r="N27" i="10"/>
  <c r="AF50" i="10"/>
  <c r="AF44" i="10"/>
  <c r="V43" i="10"/>
  <c r="AD34" i="10"/>
  <c r="AD13" i="10"/>
  <c r="AF14" i="10"/>
  <c r="T34" i="10"/>
  <c r="AJ6" i="10"/>
  <c r="AB49" i="10"/>
  <c r="AD23" i="10"/>
  <c r="T36" i="10"/>
  <c r="Z12" i="10"/>
  <c r="Z53" i="10"/>
  <c r="AJ23" i="10"/>
  <c r="AF57" i="10"/>
  <c r="Z38" i="10"/>
  <c r="V4" i="10"/>
  <c r="V32" i="10"/>
  <c r="AD2" i="10"/>
  <c r="AD52" i="10"/>
  <c r="Z45" i="10"/>
  <c r="AJ2" i="10"/>
  <c r="AB59" i="10"/>
  <c r="Z10" i="10"/>
  <c r="R35" i="10"/>
  <c r="AF18" i="10"/>
  <c r="R42" i="10"/>
  <c r="Z5" i="10"/>
  <c r="V18" i="10"/>
  <c r="V17" i="10"/>
  <c r="T26" i="10"/>
  <c r="AJ7" i="10"/>
  <c r="AB11" i="10"/>
  <c r="T53" i="10"/>
  <c r="V14" i="10"/>
  <c r="R50" i="10"/>
  <c r="R15" i="10"/>
  <c r="AJ42" i="10"/>
  <c r="AB14" i="10"/>
  <c r="AF59" i="10"/>
  <c r="R56" i="10"/>
  <c r="AF8" i="10"/>
  <c r="T58" i="10"/>
  <c r="V57" i="10"/>
  <c r="AF58" i="10"/>
  <c r="R59" i="10"/>
  <c r="AB57" i="10"/>
  <c r="T35" i="10"/>
  <c r="R4" i="10"/>
  <c r="T30" i="10"/>
  <c r="AD21" i="10"/>
  <c r="AF15" i="10"/>
  <c r="Z24" i="10"/>
  <c r="R19" i="10"/>
  <c r="AD12" i="10"/>
  <c r="AD53" i="10"/>
  <c r="AJ29" i="10"/>
  <c r="AB31" i="10"/>
  <c r="T13" i="10"/>
  <c r="AD42" i="10"/>
  <c r="R28" i="10"/>
  <c r="Z34" i="10"/>
  <c r="Z13" i="10"/>
  <c r="AB41" i="10"/>
  <c r="T27" i="10"/>
  <c r="Z30" i="10"/>
  <c r="Z8" i="10"/>
  <c r="T10" i="10"/>
  <c r="AJ21" i="10"/>
  <c r="AD16" i="10"/>
  <c r="AB58" i="10"/>
  <c r="T37" i="10"/>
  <c r="AD9" i="10"/>
  <c r="AB21" i="10"/>
  <c r="X47" i="10"/>
  <c r="X22" i="10"/>
  <c r="X9" i="10"/>
  <c r="X8" i="10"/>
  <c r="X6" i="10"/>
  <c r="P49" i="10"/>
  <c r="N6" i="10"/>
  <c r="P24" i="10"/>
  <c r="AH49" i="10"/>
  <c r="X28" i="10"/>
  <c r="P3" i="10"/>
  <c r="AH9" i="10"/>
  <c r="N36" i="10"/>
  <c r="X7" i="10"/>
  <c r="P11" i="10"/>
  <c r="N7" i="10"/>
  <c r="P44" i="10"/>
  <c r="AH11" i="10"/>
  <c r="X35" i="10"/>
  <c r="AH32" i="10"/>
  <c r="AH46" i="10"/>
  <c r="AH22" i="10"/>
  <c r="AH26" i="10"/>
  <c r="AH28" i="10"/>
  <c r="AH54" i="10"/>
  <c r="AH19" i="10"/>
  <c r="AH36" i="10"/>
  <c r="AH55" i="10"/>
  <c r="AH20" i="10"/>
  <c r="AH25" i="10"/>
  <c r="AH27" i="10"/>
  <c r="AH43" i="10"/>
  <c r="AH59" i="10"/>
  <c r="AH3" i="10"/>
  <c r="AH10" i="10"/>
  <c r="AH45" i="10"/>
  <c r="AH8" i="10"/>
  <c r="AH38" i="10"/>
  <c r="AH30" i="10"/>
  <c r="AH53" i="10"/>
  <c r="AH13" i="10"/>
  <c r="AH12" i="10"/>
  <c r="AH34" i="10"/>
  <c r="AH5" i="10"/>
  <c r="AH24" i="10"/>
  <c r="AH52" i="10"/>
  <c r="AH2" i="10"/>
  <c r="AH4" i="10"/>
  <c r="AH35" i="10"/>
  <c r="AH56" i="10"/>
  <c r="AH39" i="10"/>
  <c r="AH44" i="10"/>
  <c r="AH17" i="10"/>
  <c r="AH15" i="10"/>
  <c r="AH18" i="10"/>
  <c r="AH50" i="10"/>
  <c r="AH23" i="10"/>
  <c r="AH42" i="10"/>
  <c r="AH57" i="10"/>
  <c r="AH51" i="10"/>
  <c r="AH16" i="10"/>
  <c r="AH21" i="10"/>
  <c r="AH58" i="10"/>
  <c r="AH48" i="10"/>
  <c r="AH6" i="10"/>
  <c r="AH7" i="10"/>
  <c r="AH29" i="10"/>
  <c r="AH14" i="10"/>
  <c r="AH41" i="10"/>
  <c r="AH37" i="10"/>
  <c r="P54" i="10"/>
  <c r="P55" i="10"/>
  <c r="P56" i="10"/>
  <c r="P39" i="10"/>
  <c r="P51" i="10"/>
  <c r="P16" i="10"/>
  <c r="P2" i="10"/>
  <c r="P20" i="10"/>
  <c r="P43" i="10"/>
  <c r="P19" i="10"/>
  <c r="P23" i="10"/>
  <c r="P42" i="10"/>
  <c r="P53" i="10"/>
  <c r="P13" i="10"/>
  <c r="P12" i="10"/>
  <c r="P34" i="10"/>
  <c r="P10" i="10"/>
  <c r="P32" i="10"/>
  <c r="P22" i="10"/>
  <c r="P21" i="10"/>
  <c r="P58" i="10"/>
  <c r="P59" i="10"/>
  <c r="P57" i="10"/>
  <c r="P14" i="10"/>
  <c r="P41" i="10"/>
  <c r="P17" i="10"/>
  <c r="P15" i="10"/>
  <c r="P18" i="10"/>
  <c r="P50" i="10"/>
  <c r="P38" i="10"/>
  <c r="P30" i="10"/>
  <c r="P9" i="10"/>
  <c r="P47" i="10"/>
  <c r="P52" i="10"/>
  <c r="P8" i="10"/>
  <c r="P35" i="10"/>
  <c r="P37" i="10"/>
  <c r="P36" i="10"/>
  <c r="P28" i="10"/>
  <c r="P27" i="10"/>
  <c r="P40" i="10"/>
  <c r="P48" i="10"/>
  <c r="P6" i="10"/>
  <c r="P7" i="10"/>
  <c r="P29" i="10"/>
  <c r="P4" i="10"/>
  <c r="X29" i="10"/>
  <c r="P31" i="10"/>
  <c r="N29" i="10"/>
  <c r="X27" i="10"/>
  <c r="AH31" i="10"/>
  <c r="X37" i="10"/>
  <c r="P46" i="10"/>
  <c r="N54" i="10"/>
  <c r="N55" i="10"/>
  <c r="N21" i="10"/>
  <c r="N58" i="10"/>
  <c r="N51" i="10"/>
  <c r="N46" i="10"/>
  <c r="N45" i="10"/>
  <c r="N3" i="10"/>
  <c r="N22" i="10"/>
  <c r="N20" i="10"/>
  <c r="N5" i="10"/>
  <c r="N24" i="10"/>
  <c r="N44" i="10"/>
  <c r="N49" i="10"/>
  <c r="N11" i="10"/>
  <c r="N31" i="10"/>
  <c r="N33" i="10"/>
  <c r="N28" i="10"/>
  <c r="N9" i="10"/>
  <c r="N47" i="10"/>
  <c r="N52" i="10"/>
  <c r="N16" i="10"/>
  <c r="N2" i="10"/>
  <c r="N10" i="10"/>
  <c r="AK10" i="10" s="1"/>
  <c r="N19" i="10"/>
  <c r="N23" i="10"/>
  <c r="N42" i="10"/>
  <c r="N53" i="10"/>
  <c r="N13" i="10"/>
  <c r="N12" i="10"/>
  <c r="N34" i="10"/>
  <c r="N26" i="10"/>
  <c r="N32" i="10"/>
  <c r="N8" i="10"/>
  <c r="N38" i="10"/>
  <c r="N30" i="10"/>
  <c r="N59" i="10"/>
  <c r="N57" i="10"/>
  <c r="N4" i="10"/>
  <c r="N25" i="10"/>
  <c r="N14" i="10"/>
  <c r="N41" i="10"/>
  <c r="N17" i="10"/>
  <c r="N15" i="10"/>
  <c r="N18" i="10"/>
  <c r="N50" i="10"/>
  <c r="N43" i="10"/>
  <c r="N56" i="10"/>
  <c r="N39" i="10"/>
  <c r="N35" i="10"/>
  <c r="N37" i="10"/>
  <c r="P33" i="10"/>
  <c r="X48" i="10"/>
  <c r="AH40" i="10"/>
  <c r="N48" i="10"/>
  <c r="X40" i="10"/>
  <c r="P5" i="10"/>
  <c r="N40" i="10"/>
  <c r="AH33" i="10"/>
  <c r="X36" i="10"/>
  <c r="P45" i="10"/>
  <c r="P25" i="10"/>
  <c r="AJ19" i="10"/>
  <c r="AJ36" i="10"/>
  <c r="AJ55" i="10"/>
  <c r="AJ20" i="10"/>
  <c r="AJ25" i="10"/>
  <c r="AJ27" i="10"/>
  <c r="AJ43" i="10"/>
  <c r="AJ32" i="10"/>
  <c r="AJ46" i="10"/>
  <c r="AJ22" i="10"/>
  <c r="AJ26" i="10"/>
  <c r="AJ28" i="10"/>
  <c r="AJ54" i="10"/>
  <c r="Z32" i="10"/>
  <c r="Z46" i="10"/>
  <c r="Z22" i="10"/>
  <c r="Z26" i="10"/>
  <c r="Z28" i="10"/>
  <c r="Z54" i="10"/>
  <c r="Z19" i="10"/>
  <c r="Z55" i="10"/>
  <c r="Z20" i="10"/>
  <c r="Z25" i="10"/>
  <c r="Z27" i="10"/>
  <c r="AK27" i="10" s="1"/>
  <c r="AM27" i="10" s="1"/>
  <c r="Z43" i="10"/>
  <c r="AF19" i="10"/>
  <c r="AF36" i="10"/>
  <c r="AF55" i="10"/>
  <c r="AF20" i="10"/>
  <c r="AF25" i="10"/>
  <c r="AF27" i="10"/>
  <c r="AF43" i="10"/>
  <c r="AF32" i="10"/>
  <c r="AF22" i="10"/>
  <c r="AF26" i="10"/>
  <c r="AF28" i="10"/>
  <c r="AF54" i="10"/>
  <c r="AF46" i="10"/>
  <c r="V54" i="10"/>
  <c r="V51" i="10"/>
  <c r="V55" i="10"/>
  <c r="V52" i="10"/>
  <c r="V44" i="10"/>
  <c r="X50" i="10"/>
  <c r="AF34" i="10"/>
  <c r="X18" i="10"/>
  <c r="AF12" i="10"/>
  <c r="X15" i="10"/>
  <c r="AF13" i="10"/>
  <c r="X17" i="10"/>
  <c r="AF53" i="10"/>
  <c r="R44" i="10"/>
  <c r="Z40" i="10"/>
  <c r="R24" i="10"/>
  <c r="R5" i="10"/>
  <c r="V26" i="10"/>
  <c r="AD33" i="10"/>
  <c r="V34" i="10"/>
  <c r="AD31" i="10"/>
  <c r="V12" i="10"/>
  <c r="AD11" i="10"/>
  <c r="V13" i="10"/>
  <c r="AD49" i="10"/>
  <c r="V53" i="10"/>
  <c r="AF42" i="10"/>
  <c r="X41" i="10"/>
  <c r="AF23" i="10"/>
  <c r="X14" i="10"/>
  <c r="T28" i="10"/>
  <c r="AJ50" i="10"/>
  <c r="AB29" i="10"/>
  <c r="T33" i="10"/>
  <c r="AJ18" i="10"/>
  <c r="AB7" i="10"/>
  <c r="T31" i="10"/>
  <c r="AJ15" i="10"/>
  <c r="AB6" i="10"/>
  <c r="T11" i="10"/>
  <c r="AJ17" i="10"/>
  <c r="AB48" i="10"/>
  <c r="T49" i="10"/>
  <c r="AJ44" i="10"/>
  <c r="V42" i="10"/>
  <c r="AD24" i="10"/>
  <c r="V23" i="10"/>
  <c r="AD5" i="10"/>
  <c r="V19" i="10"/>
  <c r="AJ3" i="10"/>
  <c r="Z33" i="10"/>
  <c r="R34" i="10"/>
  <c r="Z31" i="10"/>
  <c r="R12" i="10"/>
  <c r="Z11" i="10"/>
  <c r="R13" i="10"/>
  <c r="Z49" i="10"/>
  <c r="R53" i="10"/>
  <c r="AB42" i="10"/>
  <c r="T41" i="10"/>
  <c r="AJ24" i="10"/>
  <c r="AB23" i="10"/>
  <c r="T14" i="10"/>
  <c r="AJ5" i="10"/>
  <c r="T25" i="10"/>
  <c r="R25" i="10"/>
  <c r="AF2" i="10"/>
  <c r="X57" i="10"/>
  <c r="AF16" i="10"/>
  <c r="X59" i="10"/>
  <c r="AF52" i="10"/>
  <c r="R30" i="10"/>
  <c r="Z47" i="10"/>
  <c r="R38" i="10"/>
  <c r="Z9" i="10"/>
  <c r="R8" i="10"/>
  <c r="V10" i="10"/>
  <c r="T4" i="10"/>
  <c r="R16" i="10"/>
  <c r="AJ30" i="10"/>
  <c r="AB47" i="10"/>
  <c r="T21" i="10"/>
  <c r="X4" i="10"/>
  <c r="T20" i="10"/>
  <c r="AD3" i="10"/>
  <c r="V2" i="10"/>
  <c r="AD45" i="10"/>
  <c r="V16" i="10"/>
  <c r="R32" i="10"/>
  <c r="AF39" i="10"/>
  <c r="X58" i="10"/>
  <c r="AF56" i="10"/>
  <c r="X21" i="10"/>
  <c r="AB4" i="10"/>
  <c r="R46" i="10"/>
  <c r="AJ47" i="10"/>
  <c r="T9" i="10"/>
  <c r="R51" i="10"/>
  <c r="AB2" i="10"/>
  <c r="T57" i="10"/>
  <c r="AJ45" i="10"/>
  <c r="AB16" i="10"/>
  <c r="T59" i="10"/>
  <c r="X32" i="10"/>
  <c r="AD58" i="10"/>
  <c r="V47" i="10"/>
  <c r="V9" i="10"/>
  <c r="R10" i="10"/>
  <c r="Z37" i="10"/>
  <c r="T39" i="10"/>
  <c r="AJ9" i="10"/>
  <c r="X10" i="10"/>
  <c r="AB19" i="10"/>
  <c r="AB55" i="10"/>
  <c r="AB20" i="10"/>
  <c r="AB25" i="10"/>
  <c r="AB27" i="10"/>
  <c r="AB43" i="10"/>
  <c r="AB32" i="10"/>
  <c r="AB46" i="10"/>
  <c r="AB22" i="10"/>
  <c r="AB26" i="10"/>
  <c r="AB28" i="10"/>
  <c r="AB54" i="10"/>
  <c r="R54" i="10"/>
  <c r="R55" i="10"/>
  <c r="AD32" i="10"/>
  <c r="AD46" i="10"/>
  <c r="AD22" i="10"/>
  <c r="AD26" i="10"/>
  <c r="AD28" i="10"/>
  <c r="AD54" i="10"/>
  <c r="AD20" i="10"/>
  <c r="AD25" i="10"/>
  <c r="AD27" i="10"/>
  <c r="AD43" i="10"/>
  <c r="AD19" i="10"/>
  <c r="AD55" i="10"/>
  <c r="AM10" i="10"/>
  <c r="AF33" i="10"/>
  <c r="X34" i="10"/>
  <c r="AF31" i="10"/>
  <c r="X12" i="10"/>
  <c r="AF11" i="10"/>
  <c r="X13" i="10"/>
  <c r="AF49" i="10"/>
  <c r="X53" i="10"/>
  <c r="Z41" i="10"/>
  <c r="R40" i="10"/>
  <c r="Z14" i="10"/>
  <c r="R27" i="10"/>
  <c r="V28" i="10"/>
  <c r="AD29" i="10"/>
  <c r="V33" i="10"/>
  <c r="AD7" i="10"/>
  <c r="V31" i="10"/>
  <c r="AD6" i="10"/>
  <c r="V11" i="10"/>
  <c r="AD48" i="10"/>
  <c r="V49" i="10"/>
  <c r="X42" i="10"/>
  <c r="AF24" i="10"/>
  <c r="X23" i="10"/>
  <c r="AF5" i="10"/>
  <c r="X19" i="10"/>
  <c r="AB50" i="10"/>
  <c r="T29" i="10"/>
  <c r="AJ34" i="10"/>
  <c r="AB18" i="10"/>
  <c r="T7" i="10"/>
  <c r="AJ12" i="10"/>
  <c r="AB15" i="10"/>
  <c r="T6" i="10"/>
  <c r="AJ13" i="10"/>
  <c r="AB17" i="10"/>
  <c r="T48" i="10"/>
  <c r="AJ53" i="10"/>
  <c r="AB44" i="10"/>
  <c r="AD40" i="10"/>
  <c r="V24" i="10"/>
  <c r="R43" i="10"/>
  <c r="V5" i="10"/>
  <c r="R20" i="10"/>
  <c r="Z29" i="10"/>
  <c r="R33" i="10"/>
  <c r="Z7" i="10"/>
  <c r="R31" i="10"/>
  <c r="Z6" i="10"/>
  <c r="R11" i="10"/>
  <c r="Z48" i="10"/>
  <c r="R49" i="10"/>
  <c r="T42" i="10"/>
  <c r="AJ40" i="10"/>
  <c r="AB24" i="10"/>
  <c r="T23" i="10"/>
  <c r="X43" i="10"/>
  <c r="AB5" i="10"/>
  <c r="T19" i="10"/>
  <c r="X20" i="10"/>
  <c r="V20" i="10"/>
  <c r="AF3" i="10"/>
  <c r="X2" i="10"/>
  <c r="AF45" i="10"/>
  <c r="X16" i="10"/>
  <c r="T32" i="10"/>
  <c r="R52" i="10"/>
  <c r="Z58" i="10"/>
  <c r="R47" i="10"/>
  <c r="Z21" i="10"/>
  <c r="R9" i="10"/>
  <c r="V22" i="10"/>
  <c r="AD51" i="10"/>
  <c r="T22" i="10"/>
  <c r="AB51" i="10"/>
  <c r="AB39" i="10"/>
  <c r="AB38" i="10"/>
  <c r="AB9" i="10"/>
  <c r="AF51" i="10"/>
  <c r="AD36" i="10"/>
  <c r="V3" i="10"/>
  <c r="AD37" i="10"/>
  <c r="V45" i="10"/>
  <c r="AD35" i="10"/>
  <c r="V46" i="10"/>
  <c r="AF30" i="10"/>
  <c r="X39" i="10"/>
  <c r="AF38" i="10"/>
  <c r="X56" i="10"/>
  <c r="AJ51" i="10"/>
  <c r="Z16" i="10"/>
  <c r="AB30" i="10"/>
  <c r="AJ38" i="10"/>
  <c r="AB3" i="10"/>
  <c r="T2" i="10"/>
  <c r="AJ37" i="10"/>
  <c r="AB45" i="10"/>
  <c r="T16" i="10"/>
  <c r="AJ35" i="10"/>
  <c r="AD39" i="10"/>
  <c r="V58" i="10"/>
  <c r="AD56" i="10"/>
  <c r="V21" i="10"/>
  <c r="R22" i="10"/>
  <c r="Z51" i="10"/>
  <c r="Z57" i="10"/>
  <c r="R37" i="10"/>
  <c r="AJ8" i="10"/>
  <c r="T55" i="10"/>
  <c r="T52" i="10"/>
  <c r="T44" i="10"/>
  <c r="T54" i="10"/>
  <c r="T51" i="10"/>
  <c r="X55" i="10"/>
  <c r="X52" i="10"/>
  <c r="X44" i="10"/>
  <c r="X54" i="10"/>
  <c r="X51" i="10"/>
  <c r="AF29" i="10"/>
  <c r="X33" i="10"/>
  <c r="AF7" i="10"/>
  <c r="X31" i="10"/>
  <c r="AF6" i="10"/>
  <c r="X11" i="10"/>
  <c r="AF48" i="10"/>
  <c r="X49" i="10"/>
  <c r="Z42" i="10"/>
  <c r="R41" i="10"/>
  <c r="Z23" i="10"/>
  <c r="R14" i="10"/>
  <c r="AD50" i="10"/>
  <c r="V29" i="10"/>
  <c r="AD18" i="10"/>
  <c r="V7" i="10"/>
  <c r="AD15" i="10"/>
  <c r="V6" i="10"/>
  <c r="AD17" i="10"/>
  <c r="V48" i="10"/>
  <c r="AD44" i="10"/>
  <c r="AF40" i="10"/>
  <c r="X24" i="10"/>
  <c r="T43" i="10"/>
  <c r="X5" i="10"/>
  <c r="T50" i="10"/>
  <c r="AJ33" i="10"/>
  <c r="AB34" i="10"/>
  <c r="T18" i="10"/>
  <c r="AJ31" i="10"/>
  <c r="AB12" i="10"/>
  <c r="T15" i="10"/>
  <c r="AJ11" i="10"/>
  <c r="AB13" i="10"/>
  <c r="T17" i="10"/>
  <c r="AJ49" i="10"/>
  <c r="AB53" i="10"/>
  <c r="AD41" i="10"/>
  <c r="V40" i="10"/>
  <c r="AD14" i="10"/>
  <c r="V27" i="10"/>
  <c r="R26" i="10"/>
  <c r="AL26" i="10" s="1"/>
  <c r="AB36" i="10"/>
  <c r="Z50" i="10"/>
  <c r="R29" i="10"/>
  <c r="Z18" i="10"/>
  <c r="R7" i="10"/>
  <c r="Z15" i="10"/>
  <c r="R6" i="10"/>
  <c r="Z17" i="10"/>
  <c r="R48" i="10"/>
  <c r="Z44" i="10"/>
  <c r="AJ41" i="10"/>
  <c r="AB40" i="10"/>
  <c r="T24" i="10"/>
  <c r="AJ14" i="10"/>
  <c r="T5" i="10"/>
  <c r="X26" i="10"/>
  <c r="X3" i="10"/>
  <c r="AF37" i="10"/>
  <c r="X45" i="10"/>
  <c r="AF35" i="10"/>
  <c r="X46" i="10"/>
  <c r="Z39" i="10"/>
  <c r="R58" i="10"/>
  <c r="Z56" i="10"/>
  <c r="R21" i="10"/>
  <c r="AD4" i="10"/>
  <c r="AB10" i="10"/>
  <c r="Z35" i="10"/>
  <c r="AJ58" i="10"/>
  <c r="AJ56" i="10"/>
  <c r="T8" i="10"/>
  <c r="X25" i="10"/>
  <c r="V36" i="10"/>
  <c r="AD57" i="10"/>
  <c r="V37" i="10"/>
  <c r="AD59" i="10"/>
  <c r="V35" i="10"/>
  <c r="X30" i="10"/>
  <c r="AF47" i="10"/>
  <c r="X38" i="10"/>
  <c r="AF9" i="10"/>
  <c r="AJ10" i="10"/>
  <c r="Z59" i="10"/>
  <c r="AJ39" i="10"/>
  <c r="T38" i="10"/>
  <c r="AF4" i="10"/>
  <c r="T3" i="10"/>
  <c r="AJ57" i="10"/>
  <c r="AB37" i="10"/>
  <c r="T45" i="10"/>
  <c r="AJ59" i="10"/>
  <c r="AB35" i="10"/>
  <c r="T46" i="10"/>
  <c r="AD30" i="10"/>
  <c r="V39" i="10"/>
  <c r="AD38" i="10"/>
  <c r="V56" i="10"/>
  <c r="AD8" i="10"/>
  <c r="Z4" i="10"/>
  <c r="Z2" i="10"/>
  <c r="R57" i="10"/>
  <c r="Z52" i="10"/>
  <c r="AB56" i="10"/>
  <c r="AB8" i="10"/>
  <c r="R36" i="10"/>
  <c r="AC64" i="10"/>
  <c r="Q64" i="10"/>
  <c r="AA64" i="10"/>
  <c r="AG64" i="10"/>
  <c r="O64" i="10"/>
  <c r="W64" i="10"/>
  <c r="U64" i="10"/>
  <c r="Y64" i="10"/>
  <c r="M64" i="10"/>
  <c r="AI64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K48" i="10" l="1"/>
  <c r="AM48" i="10" s="1"/>
  <c r="AK17" i="10"/>
  <c r="AM17" i="10" s="1"/>
  <c r="AK38" i="10"/>
  <c r="AM38" i="10" s="1"/>
  <c r="AK34" i="10"/>
  <c r="AM34" i="10" s="1"/>
  <c r="AK42" i="10"/>
  <c r="AM42" i="10" s="1"/>
  <c r="AK2" i="10"/>
  <c r="AM2" i="10" s="1"/>
  <c r="AK9" i="10"/>
  <c r="AM9" i="10" s="1"/>
  <c r="AK5" i="10"/>
  <c r="AM5" i="10" s="1"/>
  <c r="AL31" i="10"/>
  <c r="X22" i="3" s="1"/>
  <c r="AL36" i="10"/>
  <c r="U15" i="13" s="1"/>
  <c r="AL38" i="10"/>
  <c r="X28" i="3" s="1"/>
  <c r="AL17" i="10"/>
  <c r="U12" i="13" s="1"/>
  <c r="AL59" i="10"/>
  <c r="X45" i="3" s="1"/>
  <c r="AK7" i="10"/>
  <c r="AM7" i="10" s="1"/>
  <c r="AL48" i="10"/>
  <c r="X37" i="3" s="1"/>
  <c r="AL52" i="10"/>
  <c r="X41" i="3" s="1"/>
  <c r="AL19" i="10"/>
  <c r="AL25" i="10"/>
  <c r="X18" i="3" s="1"/>
  <c r="AK40" i="10"/>
  <c r="AM40" i="10" s="1"/>
  <c r="AK35" i="10"/>
  <c r="AM35" i="10" s="1"/>
  <c r="AK50" i="10"/>
  <c r="AM50" i="10" s="1"/>
  <c r="AK41" i="10"/>
  <c r="AM41" i="10" s="1"/>
  <c r="AK57" i="10"/>
  <c r="AM57" i="10" s="1"/>
  <c r="AK8" i="10"/>
  <c r="AM8" i="10" s="1"/>
  <c r="AK12" i="10"/>
  <c r="AM12" i="10" s="1"/>
  <c r="AK23" i="10"/>
  <c r="AM23" i="10" s="1"/>
  <c r="AK16" i="10"/>
  <c r="AM16" i="10" s="1"/>
  <c r="AK28" i="10"/>
  <c r="AM28" i="10" s="1"/>
  <c r="AK49" i="10"/>
  <c r="AM49" i="10" s="1"/>
  <c r="AK20" i="10"/>
  <c r="AM20" i="10" s="1"/>
  <c r="AK46" i="10"/>
  <c r="AM46" i="10" s="1"/>
  <c r="AK55" i="10"/>
  <c r="AM55" i="10" s="1"/>
  <c r="AL29" i="10"/>
  <c r="X20" i="3" s="1"/>
  <c r="AL40" i="10"/>
  <c r="X30" i="3" s="1"/>
  <c r="AL37" i="10"/>
  <c r="X27" i="3" s="1"/>
  <c r="AL47" i="10"/>
  <c r="X36" i="3" s="1"/>
  <c r="AL50" i="10"/>
  <c r="X39" i="3" s="1"/>
  <c r="AL41" i="10"/>
  <c r="X31" i="3" s="1"/>
  <c r="AL58" i="10"/>
  <c r="AL10" i="10"/>
  <c r="X7" i="3" s="1"/>
  <c r="AL53" i="10"/>
  <c r="X42" i="3" s="1"/>
  <c r="AL43" i="10"/>
  <c r="AL51" i="10"/>
  <c r="X40" i="3" s="1"/>
  <c r="AL54" i="10"/>
  <c r="AL11" i="10"/>
  <c r="AK36" i="10"/>
  <c r="AM36" i="10" s="1"/>
  <c r="AK43" i="10"/>
  <c r="AM43" i="10" s="1"/>
  <c r="AK4" i="10"/>
  <c r="AM4" i="10" s="1"/>
  <c r="AK45" i="10"/>
  <c r="AM45" i="10" s="1"/>
  <c r="AK21" i="10"/>
  <c r="AM21" i="10" s="1"/>
  <c r="AL4" i="10"/>
  <c r="X2" i="3" s="1"/>
  <c r="AL13" i="10"/>
  <c r="X9" i="3" s="1"/>
  <c r="AL55" i="10"/>
  <c r="AL45" i="10"/>
  <c r="X34" i="3" s="1"/>
  <c r="AL5" i="10"/>
  <c r="X3" i="3" s="1"/>
  <c r="AK39" i="10"/>
  <c r="AM39" i="10" s="1"/>
  <c r="AK18" i="10"/>
  <c r="AM18" i="10" s="1"/>
  <c r="AK14" i="10"/>
  <c r="AM14" i="10" s="1"/>
  <c r="AK59" i="10"/>
  <c r="AM59" i="10" s="1"/>
  <c r="AK32" i="10"/>
  <c r="AM32" i="10" s="1"/>
  <c r="AK13" i="10"/>
  <c r="AM13" i="10" s="1"/>
  <c r="AK19" i="10"/>
  <c r="AM19" i="10" s="1"/>
  <c r="AK52" i="10"/>
  <c r="AM52" i="10" s="1"/>
  <c r="AK33" i="10"/>
  <c r="AM33" i="10" s="1"/>
  <c r="AK44" i="10"/>
  <c r="AM44" i="10" s="1"/>
  <c r="AK22" i="10"/>
  <c r="AM22" i="10" s="1"/>
  <c r="AK51" i="10"/>
  <c r="AM51" i="10" s="1"/>
  <c r="AK54" i="10"/>
  <c r="AM54" i="10" s="1"/>
  <c r="AL7" i="10"/>
  <c r="X5" i="3" s="1"/>
  <c r="AL27" i="10"/>
  <c r="X19" i="3" s="1"/>
  <c r="AL35" i="10"/>
  <c r="X26" i="3" s="1"/>
  <c r="AL9" i="10"/>
  <c r="AL18" i="10"/>
  <c r="X13" i="3" s="1"/>
  <c r="AL14" i="10"/>
  <c r="X10" i="3" s="1"/>
  <c r="AL21" i="10"/>
  <c r="X14" i="3" s="1"/>
  <c r="AL34" i="10"/>
  <c r="X25" i="3" s="1"/>
  <c r="AL42" i="10"/>
  <c r="X32" i="3" s="1"/>
  <c r="AL20" i="10"/>
  <c r="AL39" i="10"/>
  <c r="X29" i="3" s="1"/>
  <c r="AL24" i="10"/>
  <c r="X17" i="3" s="1"/>
  <c r="AK37" i="10"/>
  <c r="AM37" i="10" s="1"/>
  <c r="AK11" i="10"/>
  <c r="AM11" i="10" s="1"/>
  <c r="AL32" i="10"/>
  <c r="X23" i="3" s="1"/>
  <c r="AL16" i="10"/>
  <c r="X12" i="3" s="1"/>
  <c r="AL49" i="10"/>
  <c r="X38" i="3" s="1"/>
  <c r="AL33" i="10"/>
  <c r="X24" i="3" s="1"/>
  <c r="AK56" i="10"/>
  <c r="AM56" i="10" s="1"/>
  <c r="AK15" i="10"/>
  <c r="AM15" i="10" s="1"/>
  <c r="AK25" i="10"/>
  <c r="AM25" i="10" s="1"/>
  <c r="AK30" i="10"/>
  <c r="AM30" i="10" s="1"/>
  <c r="AK26" i="10"/>
  <c r="AM26" i="10" s="1"/>
  <c r="AK53" i="10"/>
  <c r="AM53" i="10" s="1"/>
  <c r="AK47" i="10"/>
  <c r="AM47" i="10" s="1"/>
  <c r="AK31" i="10"/>
  <c r="AM31" i="10" s="1"/>
  <c r="AK24" i="10"/>
  <c r="AM24" i="10" s="1"/>
  <c r="AK3" i="10"/>
  <c r="AM3" i="10" s="1"/>
  <c r="AK58" i="10"/>
  <c r="AM58" i="10" s="1"/>
  <c r="AL46" i="10"/>
  <c r="X35" i="3" s="1"/>
  <c r="AK29" i="10"/>
  <c r="AM29" i="10" s="1"/>
  <c r="AL6" i="10"/>
  <c r="X4" i="3" s="1"/>
  <c r="AL28" i="10"/>
  <c r="AL8" i="10"/>
  <c r="X6" i="3" s="1"/>
  <c r="AL30" i="10"/>
  <c r="X21" i="3" s="1"/>
  <c r="AL15" i="10"/>
  <c r="X11" i="3" s="1"/>
  <c r="AL57" i="10"/>
  <c r="X44" i="3" s="1"/>
  <c r="AL22" i="10"/>
  <c r="X15" i="3" s="1"/>
  <c r="AL12" i="10"/>
  <c r="X8" i="3" s="1"/>
  <c r="AL23" i="10"/>
  <c r="X16" i="3" s="1"/>
  <c r="AL2" i="10"/>
  <c r="U11" i="13" s="1"/>
  <c r="AL56" i="10"/>
  <c r="X43" i="3" s="1"/>
  <c r="AL44" i="10"/>
  <c r="X33" i="3" s="1"/>
  <c r="AL3" i="10"/>
  <c r="U14" i="13" s="1"/>
  <c r="AK6" i="10"/>
  <c r="AM6" i="10" s="1"/>
  <c r="G60" i="6"/>
  <c r="U13" i="13" l="1"/>
  <c r="C50" i="10"/>
  <c r="S39" i="3" s="1"/>
  <c r="C29" i="10"/>
  <c r="S20" i="3" s="1"/>
  <c r="C49" i="10"/>
  <c r="S38" i="3" s="1"/>
  <c r="C47" i="10"/>
  <c r="S36" i="3" s="1"/>
  <c r="C4" i="10"/>
  <c r="S2" i="3" s="1"/>
  <c r="C2" i="10"/>
  <c r="R11" i="13" s="1"/>
  <c r="C32" i="10"/>
  <c r="S23" i="3" s="1"/>
  <c r="C44" i="10"/>
  <c r="S33" i="3" s="1"/>
  <c r="C18" i="10"/>
  <c r="S13" i="3" s="1"/>
  <c r="C19" i="10"/>
  <c r="C3" i="10"/>
  <c r="R14" i="13" s="1"/>
  <c r="C11" i="10"/>
  <c r="C33" i="10"/>
  <c r="S24" i="3" s="1"/>
  <c r="C48" i="10"/>
  <c r="S37" i="3" s="1"/>
  <c r="C9" i="10"/>
  <c r="V10" i="13" s="1"/>
  <c r="C58" i="10"/>
  <c r="V9" i="13" s="1"/>
  <c r="C36" i="10"/>
  <c r="R15" i="13" s="1"/>
  <c r="C6" i="10"/>
  <c r="S4" i="3" s="1"/>
  <c r="C51" i="10"/>
  <c r="S40" i="3" s="1"/>
  <c r="C21" i="10"/>
  <c r="S14" i="3" s="1"/>
  <c r="C56" i="10"/>
  <c r="S43" i="3" s="1"/>
  <c r="C52" i="10"/>
  <c r="S41" i="3" s="1"/>
  <c r="C53" i="10"/>
  <c r="S42" i="3" s="1"/>
  <c r="C14" i="10"/>
  <c r="S10" i="3" s="1"/>
  <c r="C23" i="10"/>
  <c r="S16" i="3" s="1"/>
  <c r="C22" i="10"/>
  <c r="S15" i="3" s="1"/>
  <c r="C15" i="10"/>
  <c r="S11" i="3" s="1"/>
  <c r="C25" i="10"/>
  <c r="S18" i="3" s="1"/>
  <c r="C16" i="10"/>
  <c r="S12" i="3" s="1"/>
  <c r="C43" i="10"/>
  <c r="V4" i="13" s="1"/>
  <c r="C54" i="10"/>
  <c r="V3" i="13" s="1"/>
  <c r="C12" i="10"/>
  <c r="S8" i="3" s="1"/>
  <c r="C57" i="10"/>
  <c r="S44" i="3" s="1"/>
  <c r="C27" i="10"/>
  <c r="S19" i="3" s="1"/>
  <c r="C59" i="10"/>
  <c r="S45" i="3" s="1"/>
  <c r="C13" i="10"/>
  <c r="S9" i="3" s="1"/>
  <c r="C34" i="10"/>
  <c r="S25" i="3" s="1"/>
  <c r="C31" i="10"/>
  <c r="S22" i="3" s="1"/>
  <c r="C40" i="10"/>
  <c r="S30" i="3" s="1"/>
  <c r="C24" i="10"/>
  <c r="S17" i="3" s="1"/>
  <c r="C55" i="10"/>
  <c r="V2" i="13" s="1"/>
  <c r="C41" i="10"/>
  <c r="S31" i="3" s="1"/>
  <c r="C46" i="10"/>
  <c r="S35" i="3" s="1"/>
  <c r="C7" i="10"/>
  <c r="S5" i="3" s="1"/>
  <c r="C45" i="10"/>
  <c r="S34" i="3" s="1"/>
  <c r="C10" i="10"/>
  <c r="S7" i="3" s="1"/>
  <c r="C28" i="10"/>
  <c r="V5" i="13" s="1"/>
  <c r="C26" i="10"/>
  <c r="V6" i="13" s="1"/>
  <c r="C8" i="10"/>
  <c r="S6" i="3" s="1"/>
  <c r="C39" i="10"/>
  <c r="S29" i="3" s="1"/>
  <c r="C37" i="10"/>
  <c r="S27" i="3" s="1"/>
  <c r="C42" i="10"/>
  <c r="S32" i="3" s="1"/>
  <c r="C38" i="10"/>
  <c r="S28" i="3" s="1"/>
  <c r="C35" i="10"/>
  <c r="S26" i="3" s="1"/>
  <c r="C17" i="10"/>
  <c r="R12" i="13" s="1"/>
  <c r="C5" i="10"/>
  <c r="S3" i="3" s="1"/>
  <c r="C20" i="10"/>
  <c r="V7" i="13" s="1"/>
  <c r="C30" i="10"/>
  <c r="S21" i="3" s="1"/>
  <c r="O39" i="3"/>
  <c r="R13" i="13" l="1"/>
  <c r="V8" i="13"/>
  <c r="P20" i="3"/>
  <c r="P24" i="3"/>
  <c r="P25" i="3"/>
  <c r="P13" i="3"/>
  <c r="P5" i="3"/>
  <c r="P22" i="3"/>
  <c r="P8" i="3"/>
  <c r="P11" i="3"/>
  <c r="P4" i="3"/>
  <c r="P9" i="3"/>
  <c r="P37" i="3"/>
  <c r="P38" i="3"/>
  <c r="P42" i="3"/>
  <c r="P33" i="3"/>
  <c r="P32" i="3"/>
  <c r="P31" i="3"/>
  <c r="P10" i="3"/>
  <c r="P19" i="3"/>
  <c r="P18" i="3"/>
  <c r="P44" i="3"/>
  <c r="P27" i="3"/>
  <c r="P34" i="3"/>
  <c r="P45" i="3"/>
  <c r="P26" i="3"/>
  <c r="P23" i="3"/>
  <c r="P35" i="3"/>
  <c r="P41" i="3"/>
  <c r="P21" i="3"/>
  <c r="P29" i="3"/>
  <c r="P36" i="3"/>
  <c r="P28" i="3"/>
  <c r="P43" i="3"/>
  <c r="P14" i="3"/>
  <c r="P6" i="3"/>
  <c r="O15" i="3"/>
  <c r="P15" i="3" s="1"/>
  <c r="P7" i="3"/>
  <c r="P2" i="3"/>
  <c r="P40" i="3"/>
</calcChain>
</file>

<file path=xl/sharedStrings.xml><?xml version="1.0" encoding="utf-8"?>
<sst xmlns="http://schemas.openxmlformats.org/spreadsheetml/2006/main" count="2287" uniqueCount="807">
  <si>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</si>
  <si>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</si>
  <si>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</si>
  <si>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</si>
  <si>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</si>
  <si>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</si>
  <si>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</si>
  <si>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</si>
  <si>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</si>
  <si>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</si>
  <si>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</si>
  <si>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</si>
  <si>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</si>
  <si>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</si>
  <si>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</si>
  <si>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</si>
  <si>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</si>
  <si>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</si>
  <si>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</si>
  <si>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</si>
  <si>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</si>
  <si>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</si>
  <si>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</si>
  <si>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</si>
  <si>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</si>
  <si>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</si>
  <si>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</si>
  <si>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</si>
  <si>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</si>
  <si>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</si>
  <si>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</si>
  <si>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</si>
  <si>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</si>
  <si>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</si>
  <si>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</si>
  <si>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</si>
  <si>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</si>
  <si>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</si>
  <si>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</si>
  <si>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</si>
  <si>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</si>
  <si>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</si>
  <si>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</si>
  <si>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</si>
  <si>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</si>
  <si>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</si>
  <si>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</si>
  <si>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</si>
  <si>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</si>
  <si>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</si>
  <si>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</si>
  <si>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</si>
  <si>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</si>
  <si>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</si>
  <si>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</si>
  <si>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</si>
  <si>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</si>
  <si>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</si>
  <si>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</si>
  <si>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</si>
  <si>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</si>
  <si>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</si>
  <si>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</si>
  <si>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</si>
  <si>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</si>
  <si>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</si>
  <si>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</si>
  <si>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</si>
  <si>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</si>
  <si>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</si>
  <si>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</si>
  <si>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</si>
  <si>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</si>
  <si>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</si>
  <si>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</si>
  <si>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</si>
  <si>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</si>
  <si>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</si>
  <si>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</si>
  <si>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</si>
  <si>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</si>
  <si>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</si>
  <si>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</si>
  <si>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</si>
  <si>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</si>
  <si>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</si>
  <si>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</si>
  <si>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</si>
  <si>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</si>
  <si>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</si>
  <si>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</si>
  <si>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</si>
  <si>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</si>
  <si>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</si>
  <si>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</si>
  <si>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</si>
  <si>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</si>
  <si>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</si>
  <si>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</si>
  <si>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</si>
  <si>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</si>
  <si>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</si>
  <si>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</si>
  <si>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</si>
  <si>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</si>
  <si>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</si>
  <si>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</si>
  <si>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</si>
  <si>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</si>
  <si>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</si>
  <si>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</si>
  <si>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</si>
  <si>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</si>
  <si>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</si>
  <si>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</si>
  <si>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</si>
  <si>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</si>
  <si>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</si>
  <si>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</si>
  <si>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</si>
  <si>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</si>
  <si>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</si>
  <si>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</si>
  <si>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</si>
  <si>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</si>
  <si>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</si>
  <si>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</si>
  <si>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</si>
  <si>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</si>
  <si>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</si>
  <si>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</si>
  <si>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</si>
  <si>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</si>
  <si>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</si>
  <si>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</si>
  <si>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</si>
  <si>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</si>
  <si>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</si>
  <si>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</si>
  <si>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</si>
  <si>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</si>
  <si>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</si>
  <si>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</si>
  <si>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</si>
  <si>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</si>
  <si>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</si>
  <si>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</si>
  <si>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</si>
  <si>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</si>
  <si>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</si>
  <si>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</si>
  <si>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</si>
  <si>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</si>
  <si>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</si>
  <si>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</si>
  <si>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</si>
  <si>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</si>
  <si>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</si>
  <si>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</si>
  <si>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</si>
  <si>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</si>
  <si>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</si>
  <si>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</si>
  <si>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</si>
  <si>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</si>
  <si>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</si>
  <si>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</si>
  <si>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</si>
  <si>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</si>
  <si>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</si>
  <si>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</si>
  <si>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</si>
  <si>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</si>
  <si>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</si>
  <si>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</si>
  <si>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</si>
  <si>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</si>
  <si>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</si>
  <si>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</si>
  <si>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</si>
  <si>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</si>
  <si>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</si>
  <si>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</si>
  <si>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</si>
  <si>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</si>
  <si>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</si>
  <si>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</si>
  <si>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</si>
  <si>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</si>
  <si>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</si>
  <si>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</si>
  <si>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</si>
  <si>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</si>
  <si>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</si>
  <si>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</si>
  <si>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</si>
  <si>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</si>
  <si>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</si>
  <si>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</si>
  <si>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</si>
  <si>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</si>
  <si>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</si>
  <si>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</si>
  <si>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</si>
  <si>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</si>
  <si>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</si>
  <si>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</si>
  <si>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</si>
  <si>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</si>
  <si>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</si>
  <si>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</si>
  <si>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</si>
  <si>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</si>
  <si>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</si>
  <si>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</si>
  <si>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</si>
  <si>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</si>
  <si>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</si>
  <si>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</si>
  <si>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</si>
  <si>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</si>
  <si>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</si>
  <si>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</si>
  <si>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</si>
  <si>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</si>
  <si>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</si>
  <si>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</si>
  <si>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</si>
  <si>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</si>
  <si>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</si>
  <si>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</si>
  <si>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</si>
  <si>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</si>
  <si>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</si>
  <si>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</si>
  <si>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</si>
  <si>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</si>
  <si>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</si>
  <si>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</si>
  <si>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</si>
  <si>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</si>
  <si>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</si>
  <si>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</si>
  <si>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</si>
  <si>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</si>
  <si>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</si>
  <si>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</si>
  <si>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</si>
  <si>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</si>
  <si>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</si>
  <si>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</si>
  <si>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</si>
  <si>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</si>
  <si>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</si>
  <si>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</si>
  <si>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</si>
  <si>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</si>
  <si>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</si>
  <si>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</si>
  <si>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</si>
  <si>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</si>
  <si>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</si>
  <si>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</si>
  <si>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</si>
  <si>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</si>
  <si>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</si>
  <si>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</si>
  <si>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</si>
  <si>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</si>
  <si>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</si>
  <si>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</si>
  <si>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</si>
  <si>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</si>
  <si>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</si>
  <si>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</si>
  <si>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</si>
  <si>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</si>
  <si>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</si>
  <si>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</si>
  <si>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</si>
  <si>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</si>
  <si>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</si>
  <si>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</si>
  <si>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</si>
  <si>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</si>
  <si>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</si>
  <si>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</si>
  <si>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</si>
  <si>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</si>
  <si>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</si>
  <si>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</si>
  <si>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</si>
  <si>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</si>
  <si>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</si>
  <si>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</si>
  <si>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</si>
  <si>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</si>
  <si>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</si>
  <si>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</si>
  <si>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</si>
  <si>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</si>
  <si>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</si>
  <si>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</si>
  <si>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</si>
  <si>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</si>
  <si>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</si>
  <si>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</si>
  <si>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</si>
  <si>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</si>
  <si>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</si>
  <si>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</si>
  <si>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</si>
  <si>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</si>
  <si>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</si>
  <si>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</si>
  <si>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</si>
  <si>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</si>
  <si>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</si>
  <si>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</si>
  <si>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</si>
  <si>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</si>
  <si>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</si>
  <si>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</si>
  <si>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</si>
  <si>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</si>
  <si>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</si>
  <si>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</si>
  <si>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</si>
  <si>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</si>
  <si>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</si>
  <si>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</si>
  <si>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</si>
  <si>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</si>
  <si>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</si>
  <si>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</si>
  <si>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</si>
  <si>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</si>
  <si>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</si>
  <si>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</si>
  <si>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</si>
  <si>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</si>
  <si>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</si>
  <si>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</si>
  <si>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</si>
  <si>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</si>
  <si>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</si>
  <si>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</si>
  <si>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</si>
  <si>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</si>
  <si>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</si>
  <si>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</si>
  <si>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</si>
  <si>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</si>
  <si>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</si>
  <si>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</si>
  <si>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</si>
  <si>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</si>
  <si>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</si>
  <si>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</si>
  <si>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</si>
  <si>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</si>
  <si>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</si>
  <si>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</si>
  <si>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</si>
  <si>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</si>
  <si>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</si>
  <si>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</si>
  <si>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</si>
  <si>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</si>
  <si>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</si>
  <si>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</si>
  <si>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</si>
  <si>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</si>
  <si>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</si>
  <si>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</si>
  <si>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</si>
  <si>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</si>
  <si>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</si>
  <si>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</si>
  <si>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</si>
  <si>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</si>
  <si>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</si>
  <si>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</si>
  <si>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</si>
  <si>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</si>
  <si>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</si>
  <si>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</si>
  <si>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</si>
  <si>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</si>
  <si>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</si>
  <si>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</si>
  <si>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</si>
  <si>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</si>
  <si>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</si>
  <si>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</si>
  <si>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</si>
  <si>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</si>
  <si>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</si>
  <si>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</si>
  <si>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</si>
  <si>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</si>
  <si>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</si>
  <si>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</si>
  <si>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</si>
  <si>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</si>
  <si>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</si>
  <si>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</si>
  <si>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</si>
  <si>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</si>
  <si>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</si>
  <si>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</si>
  <si>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</si>
  <si>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</si>
  <si>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</si>
  <si>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</si>
  <si>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</si>
  <si>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</si>
  <si>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</si>
  <si>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</si>
  <si>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</si>
  <si>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</si>
  <si>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</si>
  <si>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</si>
  <si>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</si>
  <si>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</si>
  <si>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</si>
  <si>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</si>
  <si>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</si>
  <si>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</si>
  <si>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</si>
  <si>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</si>
  <si>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</si>
  <si>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</si>
  <si>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</si>
  <si>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</si>
  <si>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</si>
  <si>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</si>
  <si>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</si>
  <si>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</si>
  <si>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</si>
  <si>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</si>
  <si>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</si>
  <si>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</si>
  <si>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</si>
  <si>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</si>
  <si>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</si>
  <si>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</si>
  <si>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</si>
  <si>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</si>
  <si>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</si>
  <si>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</si>
  <si>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</si>
  <si>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</si>
  <si>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</si>
  <si>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</si>
  <si>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</si>
  <si>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</si>
  <si>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</si>
  <si>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</si>
  <si>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</si>
  <si>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</si>
  <si>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</si>
  <si>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</si>
  <si>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</si>
  <si>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</si>
  <si>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</si>
  <si>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</si>
  <si>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</si>
  <si>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</si>
  <si>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</si>
  <si>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</si>
  <si>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</si>
  <si>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</si>
  <si>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</si>
  <si>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</si>
  <si>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</si>
  <si>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</si>
  <si>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</si>
  <si>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</si>
  <si>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</si>
  <si>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</si>
  <si>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</si>
  <si>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</si>
  <si>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</si>
  <si>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</si>
  <si>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</si>
  <si>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</si>
  <si>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</si>
  <si>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</si>
  <si>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</si>
  <si>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</si>
  <si>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</si>
  <si>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</si>
  <si>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</si>
  <si>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</si>
  <si>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</si>
  <si>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</si>
  <si>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</si>
  <si>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</si>
  <si>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</si>
  <si>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</si>
  <si>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</si>
  <si>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</si>
  <si>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</si>
  <si>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</si>
  <si>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</si>
  <si>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</si>
  <si>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</si>
  <si>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</si>
  <si>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</si>
  <si>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</si>
  <si>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</si>
  <si>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</si>
  <si>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</si>
  <si>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</si>
  <si>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</si>
  <si>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</si>
  <si>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</si>
  <si>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</si>
  <si>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</si>
  <si>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</si>
  <si>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</si>
  <si>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</si>
  <si>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</si>
  <si>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</si>
  <si>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</si>
  <si>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</si>
  <si>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</si>
  <si>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</si>
  <si>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</si>
  <si>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</si>
  <si>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</si>
  <si>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</si>
  <si>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</si>
  <si>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</si>
  <si>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</si>
  <si>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</si>
  <si>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</si>
  <si>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</si>
  <si>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</si>
  <si>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</si>
  <si>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</si>
  <si>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</si>
  <si>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</si>
  <si>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</si>
  <si>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</si>
  <si>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</si>
  <si>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</si>
  <si>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</si>
  <si>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</si>
  <si>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</si>
  <si>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</si>
  <si>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</si>
  <si>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</si>
  <si>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</si>
  <si>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</si>
  <si>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</si>
  <si>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</si>
  <si>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</si>
  <si>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</si>
  <si>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</si>
  <si>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</si>
  <si>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</si>
  <si>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</si>
  <si>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</si>
  <si>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</si>
  <si>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</si>
  <si>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</si>
  <si>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</si>
  <si>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</si>
  <si>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</si>
  <si>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</si>
  <si>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</si>
  <si>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</si>
  <si>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</si>
  <si>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</si>
  <si>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</si>
  <si>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</si>
  <si>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</si>
  <si>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</si>
  <si>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</si>
  <si>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</si>
  <si>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</si>
  <si>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</si>
  <si>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</si>
  <si>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</si>
  <si>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</si>
  <si>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</si>
  <si>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</si>
  <si>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</si>
  <si>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</si>
  <si>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</si>
  <si>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</si>
  <si>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</si>
  <si>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</si>
  <si>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</si>
  <si>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</si>
  <si>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</si>
  <si>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</si>
  <si>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</si>
  <si>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</si>
  <si>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</si>
  <si>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</si>
  <si>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</si>
  <si>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</si>
  <si>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</si>
  <si>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</si>
  <si>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</si>
  <si>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</si>
  <si>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</si>
  <si>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</si>
  <si>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</si>
  <si>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</si>
  <si>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</si>
  <si>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</si>
  <si>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</si>
  <si>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</si>
  <si>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</si>
  <si>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</si>
  <si>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</si>
  <si>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</si>
  <si>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</si>
  <si>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</si>
  <si>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</si>
  <si>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</si>
  <si>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</si>
  <si>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</si>
  <si>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</si>
  <si>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</si>
  <si>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</si>
  <si>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</si>
  <si>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</si>
  <si>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</si>
  <si>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</si>
  <si>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</si>
  <si>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</si>
  <si>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</si>
  <si>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</si>
  <si>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</si>
  <si>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</si>
  <si>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</si>
  <si>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</si>
  <si>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</si>
  <si>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</si>
  <si>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</si>
  <si>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</si>
  <si>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</si>
  <si>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</si>
  <si>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</si>
  <si>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</si>
  <si>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</si>
  <si>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</si>
  <si>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</si>
  <si>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</si>
  <si>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</si>
  <si>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</si>
  <si>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</si>
  <si>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</si>
  <si>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</si>
  <si>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</si>
  <si>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</si>
  <si>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</si>
  <si>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</si>
  <si>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</si>
  <si>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</si>
  <si>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</si>
  <si>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</si>
  <si>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</si>
  <si>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</si>
  <si>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</si>
  <si>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</si>
  <si>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</si>
  <si>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</si>
  <si>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</si>
  <si>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</si>
  <si>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</si>
  <si>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</si>
  <si>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</si>
  <si>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</si>
  <si>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</si>
  <si>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</si>
  <si>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</si>
  <si>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</si>
  <si>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</si>
  <si>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</si>
  <si>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</si>
  <si>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</si>
  <si>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</si>
  <si>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</si>
  <si>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</si>
  <si>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</si>
  <si>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</si>
  <si>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</si>
  <si>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</si>
  <si>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</si>
  <si>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</si>
  <si>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</si>
  <si>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</si>
  <si>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</si>
  <si>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</si>
  <si>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</si>
  <si>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</si>
  <si>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</si>
  <si>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</si>
  <si>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</si>
  <si>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</si>
  <si>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</si>
  <si>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</si>
  <si>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</si>
  <si>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</si>
  <si>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</si>
  <si>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</si>
  <si>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</si>
  <si>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</si>
  <si>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</si>
  <si>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</si>
  <si>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</si>
  <si>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</si>
  <si>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</si>
  <si>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</si>
  <si>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</si>
  <si>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</si>
  <si>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</si>
  <si>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</si>
  <si>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</si>
  <si>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</si>
  <si>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</si>
  <si>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</si>
  <si>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</si>
  <si>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</si>
  <si>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</si>
  <si>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</si>
  <si>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</si>
  <si>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</si>
  <si>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</si>
  <si>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</si>
  <si>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</si>
  <si>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</si>
  <si>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</si>
  <si>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</si>
  <si>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</si>
  <si>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</si>
  <si>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</si>
  <si>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</si>
  <si>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</si>
  <si>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</si>
  <si>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</si>
  <si>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</si>
  <si>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</si>
  <si>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</si>
  <si>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</si>
  <si>
    <t>Rice Unversity</t>
  </si>
  <si>
    <t>Only offers industry focus MSCS but looks good</t>
  </si>
  <si>
    <t>Suggests very small MS program and that very few international students are admitted</t>
  </si>
  <si>
    <t>317/153/164/3.0</t>
  </si>
  <si>
    <t>Suggests strict requirements to have completed the pre requisites</t>
  </si>
  <si>
    <t>Suggests that background requirements can be completed through independent study</t>
  </si>
  <si>
    <t>Some background courses can be taken in MS program</t>
  </si>
  <si>
    <t>Part of courses/background can be met and rest can be taken for part credit</t>
  </si>
  <si>
    <t>324/158/166/4.8</t>
  </si>
  <si>
    <t>Preference to people prepared strongly in requirements especially mathematics</t>
  </si>
  <si>
    <t>11-Dec-19(Rec)</t>
  </si>
  <si>
    <t>Rolling Admissions</t>
  </si>
  <si>
    <t>Shows many students in seeking employment category (~39%)</t>
  </si>
  <si>
    <t>Requires only 2 Letters of Recommendation</t>
  </si>
  <si>
    <t>Suggests requirement of pre requisite courses but has students from varied backgrounds</t>
  </si>
  <si>
    <t>Has concentration in Data Science and looks good</t>
  </si>
  <si>
    <t>Minor deficiencies in undergraduate preparation are acceptable and can be removed in first year of graduate study</t>
  </si>
  <si>
    <t>Some emphasis on GRE scores along with letters of recommendation, the personal statement and GPA</t>
  </si>
  <si>
    <t>Most students admitted to MS/PhD programs</t>
  </si>
  <si>
    <t>Students may be admitted with one or more deficiencies in the undergraduate proficiency requirements</t>
  </si>
  <si>
    <t>$75</t>
  </si>
  <si>
    <t>Small school and difficult program</t>
  </si>
  <si>
    <t>Selection Chances</t>
  </si>
  <si>
    <t>Ambitious</t>
  </si>
  <si>
    <t>Selection_Chance</t>
  </si>
  <si>
    <t>Moderate</t>
  </si>
  <si>
    <t>Safe</t>
  </si>
  <si>
    <t>321/156/165/3.5</t>
  </si>
  <si>
    <t>M.Eng. Program for 1 year</t>
  </si>
  <si>
    <t>Requires strong technical background or similar experience</t>
  </si>
  <si>
    <t>Merit and need based grant for M.Eng.</t>
  </si>
  <si>
    <t>M.Eng. Slightly Leadership and management focused</t>
  </si>
  <si>
    <t>M.Eng. Only 4 technical courses, leadership courses and a project</t>
  </si>
  <si>
    <t>Very small M.S. program for students with research experience</t>
  </si>
  <si>
    <t>No supplemental program for MS</t>
  </si>
  <si>
    <t>Tuition - M.S. - 33,911.50, M.Eng. - 55,755</t>
  </si>
  <si>
    <t>Has many programs, interesting: MS ML, MS Comp. DS, MS Intel. Info. Sys, MSCS</t>
  </si>
  <si>
    <t>Suggest opportunity for varied UG background</t>
  </si>
  <si>
    <t>No terminal academic MSCS program, combined MS/PhD program and a professional MS degree</t>
  </si>
  <si>
    <t>Questions</t>
  </si>
  <si>
    <t>MS/PhD program strength?</t>
  </si>
  <si>
    <t>$81</t>
  </si>
  <si>
    <t>Can apply to 3 programs with one application fee</t>
  </si>
  <si>
    <t>324/160/164/4.8</t>
  </si>
  <si>
    <t>20% acceptance rate</t>
  </si>
  <si>
    <t>Decent program strength ~ 160</t>
  </si>
  <si>
    <t>MS - CS, CE</t>
  </si>
  <si>
    <t>Suggests applications open for non-CS UG's</t>
  </si>
  <si>
    <t>Good Curriculum (Exam Option ~40-48 credits) (Thesis ~40 units)</t>
  </si>
  <si>
    <t>Allows registration to more than 1 program with a single registration. Bad Job prospects after MS</t>
  </si>
  <si>
    <t>Has PAC program for preparing students without background. Separate from MS.</t>
  </si>
  <si>
    <t>Looks neutral towards non-CS UG's</t>
  </si>
  <si>
    <t>Master in Computer Science</t>
  </si>
  <si>
    <t>Master in Data Science</t>
  </si>
  <si>
    <t>QS Global Rank</t>
  </si>
  <si>
    <t>QS CS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</si>
</sst>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/>
    <xf numFmtId="0" fontId="0" fillId="0" borderId="1" xfId="0" applyBorder="1" applyAlignment="1"/>
    <xf numFmtId="15" fontId="0" fillId="0" borderId="2" xfId="0" applyNumberFormat="1" applyBorder="1"/>
    <xf numFmtId="15" fontId="0" fillId="0" borderId="4" xfId="0" applyNumberFormat="1" applyBorder="1"/>
    <xf numFmtId="1" fontId="0" fillId="14" borderId="1" xfId="0" applyNumberFormat="1" applyFill="1" applyBorder="1"/>
    <xf numFmtId="1" fontId="0" fillId="15" borderId="1" xfId="0" applyNumberFormat="1" applyFill="1" applyBorder="1"/>
    <xf numFmtId="0" fontId="0" fillId="4" borderId="1" xfId="0" applyFill="1" applyBorder="1" applyAlignment="1">
      <alignment horizontal="center"/>
    </xf>
    <xf numFmtId="1" fontId="0" fillId="8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H45"/>
  <sheetViews>
    <sheetView tabSelected="1" workbookViewId="0">
      <pane ySplit="1" topLeftCell="A13" activePane="bottomLeft" state="frozen"/>
      <selection activeCell="K1" sqref="K1"/>
      <selection pane="bottomLeft" activeCell="D30" sqref="D30"/>
    </sheetView>
  </sheetViews>
  <sheetFormatPr defaultRowHeight="15" x14ac:dyDescent="0.25"/>
  <cols>
    <col min="1" max="1" width="5.7109375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17.28515625" style="6" bestFit="1" customWidth="1"/>
    <col min="8" max="8" width="8.85546875" style="6" hidden="1" customWidth="1"/>
    <col min="9" max="9" width="4" style="6" hidden="1" customWidth="1"/>
    <col min="10" max="10" width="27.42578125" style="6" hidden="1" customWidth="1"/>
    <col min="11" max="11" width="13.85546875" style="6" hidden="1" customWidth="1"/>
    <col min="12" max="12" width="15" style="33" hidden="1" customWidth="1"/>
    <col min="13" max="13" width="8.85546875" style="6" bestFit="1" customWidth="1"/>
    <col min="14" max="14" width="9.140625" style="6" bestFit="1" customWidth="1"/>
    <col min="15" max="15" width="9.85546875" style="6" customWidth="1"/>
    <col min="16" max="16" width="9.42578125" style="6" customWidth="1"/>
    <col min="17" max="17" width="21.42578125" style="6" hidden="1" customWidth="1"/>
    <col min="18" max="18" width="21.140625" style="6" hidden="1" customWidth="1"/>
    <col min="19" max="19" width="12.140625" style="6" bestFit="1" customWidth="1"/>
    <col min="20" max="21" width="12.140625" style="6" customWidth="1"/>
    <col min="22" max="22" width="11" style="6" customWidth="1"/>
    <col min="23" max="24" width="9.85546875" style="6" customWidth="1"/>
    <col min="25" max="25" width="9" style="6" customWidth="1"/>
    <col min="26" max="26" width="16" style="6" bestFit="1" customWidth="1"/>
    <col min="27" max="27" width="13.85546875" style="6" bestFit="1" customWidth="1"/>
    <col min="28" max="28" width="12.5703125" style="6" bestFit="1" customWidth="1"/>
    <col min="29" max="29" width="7.7109375" style="6" bestFit="1" customWidth="1"/>
    <col min="30" max="30" width="7.28515625" style="6" bestFit="1" customWidth="1"/>
    <col min="31" max="31" width="38.5703125" style="6" bestFit="1" customWidth="1"/>
    <col min="32" max="32" width="23.85546875" style="10" bestFit="1" customWidth="1"/>
    <col min="33" max="33" width="15" style="6" bestFit="1" customWidth="1"/>
    <col min="34" max="34" width="63" style="6" bestFit="1" customWidth="1"/>
    <col min="35" max="16384" width="9.140625" style="6"/>
  </cols>
  <sheetData>
    <row r="1" spans="1:3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773</v>
      </c>
      <c r="H1" s="1" t="s">
        <v>261</v>
      </c>
      <c r="I1" s="1" t="s">
        <v>314</v>
      </c>
      <c r="J1" s="1" t="s">
        <v>200</v>
      </c>
      <c r="K1" s="1" t="s">
        <v>201</v>
      </c>
      <c r="L1" s="32" t="s">
        <v>342</v>
      </c>
      <c r="M1" s="1" t="s">
        <v>159</v>
      </c>
      <c r="N1" s="1" t="s">
        <v>28</v>
      </c>
      <c r="O1" s="1" t="s">
        <v>158</v>
      </c>
      <c r="P1" s="1" t="s">
        <v>29</v>
      </c>
      <c r="Q1" s="4" t="s">
        <v>202</v>
      </c>
      <c r="R1" s="1" t="s">
        <v>57</v>
      </c>
      <c r="S1" s="1" t="s">
        <v>5</v>
      </c>
      <c r="T1" s="1" t="s">
        <v>805</v>
      </c>
      <c r="U1" s="1" t="s">
        <v>806</v>
      </c>
      <c r="V1" s="1" t="s">
        <v>277</v>
      </c>
      <c r="W1" s="1" t="s">
        <v>41</v>
      </c>
      <c r="X1" s="1" t="s">
        <v>733</v>
      </c>
      <c r="Y1" s="1" t="s">
        <v>734</v>
      </c>
      <c r="Z1" s="1" t="s">
        <v>234</v>
      </c>
      <c r="AA1" s="1" t="s">
        <v>659</v>
      </c>
      <c r="AB1" s="4" t="s">
        <v>656</v>
      </c>
      <c r="AC1" s="4" t="s">
        <v>657</v>
      </c>
      <c r="AD1" s="4" t="s">
        <v>658</v>
      </c>
      <c r="AE1" s="1" t="s">
        <v>107</v>
      </c>
      <c r="AF1" s="8" t="s">
        <v>34</v>
      </c>
      <c r="AG1" s="1" t="s">
        <v>230</v>
      </c>
      <c r="AH1" s="49" t="s">
        <v>33</v>
      </c>
    </row>
    <row r="2" spans="1:34" x14ac:dyDescent="0.25">
      <c r="A2" s="91">
        <v>2</v>
      </c>
      <c r="B2" s="44" t="s">
        <v>7</v>
      </c>
      <c r="C2" s="2" t="s">
        <v>59</v>
      </c>
      <c r="D2" s="2" t="s">
        <v>58</v>
      </c>
      <c r="E2" s="2" t="s">
        <v>56</v>
      </c>
      <c r="F2" s="6">
        <v>80</v>
      </c>
      <c r="G2" s="6" t="s">
        <v>774</v>
      </c>
      <c r="H2" s="2" t="s">
        <v>721</v>
      </c>
      <c r="I2" s="26"/>
      <c r="J2" s="85" t="s">
        <v>291</v>
      </c>
      <c r="K2" s="86"/>
      <c r="L2" s="30">
        <v>100</v>
      </c>
      <c r="M2" s="2" t="s">
        <v>160</v>
      </c>
      <c r="N2" s="3">
        <v>47470</v>
      </c>
      <c r="O2" s="3">
        <v>24133</v>
      </c>
      <c r="P2" s="3">
        <f>N2+O2</f>
        <v>71603</v>
      </c>
      <c r="Q2" s="3"/>
      <c r="R2" s="2"/>
      <c r="S2" s="2">
        <f>VLOOKUP(B2,Overall_Rank,2,)</f>
        <v>3</v>
      </c>
      <c r="T2" s="2">
        <f>VLOOKUP(B2,Rank_Data_All,3,FALSE)</f>
        <v>46</v>
      </c>
      <c r="U2" s="2">
        <f>VLOOKUP(B2,Rank_Data_All,5,FALSE)</f>
        <v>3</v>
      </c>
      <c r="V2" s="2">
        <v>0.1094</v>
      </c>
      <c r="W2" s="2">
        <v>23.7</v>
      </c>
      <c r="X2" s="2">
        <f>VLOOKUP(B2,Rank_Data_All,37,FALSE)</f>
        <v>92.67</v>
      </c>
      <c r="Y2" s="2">
        <f>VLOOKUP(B2,Rank_Data_All,9,FALSE)</f>
        <v>82.4</v>
      </c>
      <c r="Z2" s="12">
        <v>117357</v>
      </c>
      <c r="AA2" s="47">
        <v>13991</v>
      </c>
      <c r="AB2" s="47">
        <v>6683</v>
      </c>
      <c r="AC2" s="46">
        <v>72</v>
      </c>
      <c r="AD2" s="47">
        <v>1360</v>
      </c>
      <c r="AE2" s="2" t="s">
        <v>198</v>
      </c>
      <c r="AF2" s="9" t="s">
        <v>205</v>
      </c>
      <c r="AG2" s="2"/>
      <c r="AH2" s="2"/>
    </row>
    <row r="3" spans="1:34" x14ac:dyDescent="0.25">
      <c r="A3" s="90">
        <v>23</v>
      </c>
      <c r="B3" s="39" t="s">
        <v>393</v>
      </c>
      <c r="C3" s="2" t="s">
        <v>101</v>
      </c>
      <c r="D3" s="2" t="s">
        <v>95</v>
      </c>
      <c r="E3" s="2" t="s">
        <v>56</v>
      </c>
      <c r="F3" s="2">
        <v>50</v>
      </c>
      <c r="G3" s="20" t="s">
        <v>774</v>
      </c>
      <c r="H3" s="2" t="s">
        <v>271</v>
      </c>
      <c r="I3" s="26"/>
      <c r="J3" s="26"/>
      <c r="K3" s="89">
        <v>43816</v>
      </c>
      <c r="L3" s="30">
        <v>90</v>
      </c>
      <c r="M3" s="2" t="s">
        <v>160</v>
      </c>
      <c r="N3" s="3">
        <v>55754</v>
      </c>
      <c r="O3" s="3">
        <v>22263</v>
      </c>
      <c r="P3" s="3">
        <f>N3+O3</f>
        <v>78017</v>
      </c>
      <c r="Q3" s="3"/>
      <c r="R3" s="2"/>
      <c r="S3" s="2">
        <f>VLOOKUP(B3,Overall_Rank,2,)</f>
        <v>4</v>
      </c>
      <c r="T3" s="2">
        <f>VLOOKUP(B3,Rank_Data_All,3,FALSE)</f>
        <v>27</v>
      </c>
      <c r="U3" s="2">
        <f>VLOOKUP(B3,Rank_Data_All,5,FALSE)</f>
        <v>4</v>
      </c>
      <c r="V3" s="2">
        <v>0.66700000000000004</v>
      </c>
      <c r="W3" s="2">
        <v>12</v>
      </c>
      <c r="X3" s="2">
        <f>VLOOKUP(B3,Rank_Data_All,37,FALSE)</f>
        <v>68.12</v>
      </c>
      <c r="Y3" s="2">
        <f>VLOOKUP(B3,Rank_Data_All,9,FALSE)</f>
        <v>89</v>
      </c>
      <c r="Z3" s="2"/>
      <c r="AA3" s="47">
        <v>40056</v>
      </c>
      <c r="AB3" s="47">
        <v>6741</v>
      </c>
      <c r="AC3" s="46">
        <v>41</v>
      </c>
      <c r="AD3" s="47">
        <v>2773</v>
      </c>
      <c r="AE3" s="2" t="s">
        <v>778</v>
      </c>
      <c r="AF3" s="9" t="s">
        <v>218</v>
      </c>
      <c r="AG3" s="2"/>
      <c r="AH3" s="2"/>
    </row>
    <row r="4" spans="1:34" x14ac:dyDescent="0.25">
      <c r="A4" s="91">
        <v>36</v>
      </c>
      <c r="B4" s="2" t="s">
        <v>120</v>
      </c>
      <c r="C4" s="2" t="s">
        <v>148</v>
      </c>
      <c r="D4" s="2" t="s">
        <v>69</v>
      </c>
      <c r="E4" s="2" t="s">
        <v>56</v>
      </c>
      <c r="F4" s="2">
        <v>70</v>
      </c>
      <c r="G4" s="20" t="s">
        <v>774</v>
      </c>
      <c r="H4" s="20" t="s">
        <v>704</v>
      </c>
      <c r="I4" s="2"/>
      <c r="J4" s="2"/>
      <c r="K4" s="15">
        <v>43497</v>
      </c>
      <c r="L4" s="29"/>
      <c r="M4" s="2" t="s">
        <v>160</v>
      </c>
      <c r="N4" s="3">
        <v>29585</v>
      </c>
      <c r="O4" s="3">
        <v>17365</v>
      </c>
      <c r="P4" s="3">
        <f>N4+O4</f>
        <v>46950</v>
      </c>
      <c r="Q4" s="3"/>
      <c r="R4" s="2"/>
      <c r="S4" s="2">
        <f>VLOOKUP(B4,Overall_Rank,2,)</f>
        <v>5</v>
      </c>
      <c r="T4" s="2">
        <f>VLOOKUP(B4,Rank_Data_All,3,FALSE)</f>
        <v>14</v>
      </c>
      <c r="U4" s="2">
        <f>VLOOKUP(B4,Rank_Data_All,5,FALSE)</f>
        <v>25</v>
      </c>
      <c r="V4" s="2">
        <v>5.0000000000000001E-3</v>
      </c>
      <c r="W4" s="2">
        <v>15.1</v>
      </c>
      <c r="X4" s="2">
        <f>VLOOKUP(B4,Rank_Data_All,37,FALSE)</f>
        <v>66.89</v>
      </c>
      <c r="Y4" s="2">
        <f>VLOOKUP(B4,Rank_Data_All,9,FALSE)</f>
        <v>76.900000000000006</v>
      </c>
      <c r="Z4" s="2"/>
      <c r="AA4" s="47">
        <v>22144</v>
      </c>
      <c r="AB4" s="47">
        <v>5446</v>
      </c>
      <c r="AC4" s="46">
        <v>62</v>
      </c>
      <c r="AD4" s="47">
        <v>2730</v>
      </c>
      <c r="AE4" s="2"/>
      <c r="AF4" s="9" t="s">
        <v>228</v>
      </c>
      <c r="AG4" s="2"/>
      <c r="AH4" s="2"/>
    </row>
    <row r="5" spans="1:34" x14ac:dyDescent="0.25">
      <c r="A5" s="90">
        <v>40</v>
      </c>
      <c r="B5" s="39" t="s">
        <v>124</v>
      </c>
      <c r="C5" s="2" t="s">
        <v>151</v>
      </c>
      <c r="D5" s="2" t="s">
        <v>138</v>
      </c>
      <c r="E5" s="2" t="s">
        <v>56</v>
      </c>
      <c r="F5" s="2">
        <v>50</v>
      </c>
      <c r="G5" s="20" t="s">
        <v>774</v>
      </c>
      <c r="H5" s="20" t="s">
        <v>259</v>
      </c>
      <c r="I5" s="2"/>
      <c r="J5" s="2"/>
      <c r="K5" s="15">
        <v>43480</v>
      </c>
      <c r="L5" s="29">
        <v>100</v>
      </c>
      <c r="M5" s="2" t="s">
        <v>160</v>
      </c>
      <c r="N5" s="3">
        <v>51377</v>
      </c>
      <c r="O5" s="3">
        <v>13986</v>
      </c>
      <c r="P5" s="3">
        <f>N5+O5</f>
        <v>65363</v>
      </c>
      <c r="Q5" s="3"/>
      <c r="R5" s="2"/>
      <c r="S5" s="2">
        <f>VLOOKUP(B5,Overall_Rank,2,)</f>
        <v>6</v>
      </c>
      <c r="T5" s="2">
        <f>VLOOKUP(B5,Rank_Data_All,3,FALSE)</f>
        <v>20</v>
      </c>
      <c r="U5" s="2">
        <f>VLOOKUP(B5,Rank_Data_All,5,FALSE)</f>
        <v>45</v>
      </c>
      <c r="V5" s="2">
        <v>5.9499999999999997E-2</v>
      </c>
      <c r="W5" s="2">
        <v>9.6</v>
      </c>
      <c r="X5" s="2">
        <f>VLOOKUP(B5,Rank_Data_All,37,FALSE)</f>
        <v>59.8</v>
      </c>
      <c r="Y5" s="2">
        <f>VLOOKUP(B5,Rank_Data_All,9,FALSE)</f>
        <v>80</v>
      </c>
      <c r="Z5" s="2"/>
      <c r="AA5" s="47">
        <v>43874</v>
      </c>
      <c r="AB5" s="47">
        <v>7755</v>
      </c>
      <c r="AC5" s="46">
        <v>64</v>
      </c>
      <c r="AD5" s="47">
        <v>7255</v>
      </c>
      <c r="AE5" s="2"/>
      <c r="AF5" s="9" t="s">
        <v>229</v>
      </c>
      <c r="AG5" s="2"/>
      <c r="AH5" s="2" t="s">
        <v>698</v>
      </c>
    </row>
    <row r="6" spans="1:34" x14ac:dyDescent="0.25">
      <c r="A6" s="91">
        <v>5</v>
      </c>
      <c r="B6" s="44" t="s">
        <v>208</v>
      </c>
      <c r="C6" s="2" t="s">
        <v>68</v>
      </c>
      <c r="D6" s="2" t="s">
        <v>67</v>
      </c>
      <c r="E6" s="2" t="s">
        <v>56</v>
      </c>
      <c r="F6" s="2">
        <v>80</v>
      </c>
      <c r="G6" s="20" t="s">
        <v>774</v>
      </c>
      <c r="H6" s="20" t="s">
        <v>262</v>
      </c>
      <c r="I6" s="2"/>
      <c r="J6" s="2"/>
      <c r="K6" s="15">
        <v>43497</v>
      </c>
      <c r="L6" s="29">
        <v>90</v>
      </c>
      <c r="M6" s="2" t="s">
        <v>160</v>
      </c>
      <c r="N6" s="3">
        <v>29954</v>
      </c>
      <c r="O6" s="3">
        <v>14918</v>
      </c>
      <c r="P6" s="3">
        <f>N6+O6</f>
        <v>44872</v>
      </c>
      <c r="Q6" s="3"/>
      <c r="R6" s="2"/>
      <c r="S6" s="2">
        <f>VLOOKUP(B6,Overall_Rank,2,)</f>
        <v>7</v>
      </c>
      <c r="T6" s="2">
        <f>VLOOKUP(B6,Rank_Data_All,3,FALSE)</f>
        <v>69</v>
      </c>
      <c r="U6" s="2">
        <f>VLOOKUP(B6,Rank_Data_All,5,FALSE)</f>
        <v>21</v>
      </c>
      <c r="V6" s="2">
        <v>0.27060000000000001</v>
      </c>
      <c r="W6" s="2">
        <v>32</v>
      </c>
      <c r="X6" s="2">
        <f>VLOOKUP(B6,Rank_Data_All,37,FALSE)</f>
        <v>63.76</v>
      </c>
      <c r="Y6" s="2">
        <f>VLOOKUP(B6,Rank_Data_All,9,FALSE)</f>
        <v>79.3</v>
      </c>
      <c r="Z6" s="2"/>
      <c r="AA6" s="47">
        <v>22007</v>
      </c>
      <c r="AB6" s="47">
        <v>5022</v>
      </c>
      <c r="AC6" s="46">
        <v>71</v>
      </c>
      <c r="AD6" s="47">
        <v>1197</v>
      </c>
      <c r="AE6" s="2"/>
      <c r="AF6" s="9" t="s">
        <v>214</v>
      </c>
      <c r="AG6" s="2"/>
      <c r="AH6" s="2"/>
    </row>
    <row r="7" spans="1:34" x14ac:dyDescent="0.25">
      <c r="A7" s="91">
        <v>3</v>
      </c>
      <c r="B7" s="39" t="s">
        <v>407</v>
      </c>
      <c r="C7" s="2" t="s">
        <v>60</v>
      </c>
      <c r="D7" s="2" t="s">
        <v>61</v>
      </c>
      <c r="E7" s="2" t="s">
        <v>56</v>
      </c>
      <c r="F7" s="2">
        <v>20</v>
      </c>
      <c r="G7" s="20" t="s">
        <v>774</v>
      </c>
      <c r="H7" s="20" t="s">
        <v>262</v>
      </c>
      <c r="I7" s="2"/>
      <c r="J7" s="2" t="s">
        <v>292</v>
      </c>
      <c r="K7" s="15">
        <v>43511</v>
      </c>
      <c r="L7" s="29">
        <v>100</v>
      </c>
      <c r="M7" s="2" t="s">
        <v>160</v>
      </c>
      <c r="N7" s="3">
        <v>48432</v>
      </c>
      <c r="O7" s="3">
        <v>34362</v>
      </c>
      <c r="P7" s="3">
        <f>N7+O7</f>
        <v>82794</v>
      </c>
      <c r="Q7" s="3"/>
      <c r="R7" s="2"/>
      <c r="S7" s="2">
        <f>VLOOKUP(B7,Overall_Rank,2,)</f>
        <v>9</v>
      </c>
      <c r="T7" s="2">
        <f>VLOOKUP(B7,Rank_Data_All,3,FALSE)</f>
        <v>16</v>
      </c>
      <c r="U7" s="2">
        <f>VLOOKUP(B7,Rank_Data_All,5,FALSE)</f>
        <v>24</v>
      </c>
      <c r="V7" s="2">
        <v>0.58320000000000005</v>
      </c>
      <c r="W7" s="2">
        <v>6.6</v>
      </c>
      <c r="X7" s="2">
        <f>VLOOKUP(B7,Rank_Data_All,37,FALSE)</f>
        <v>54.15</v>
      </c>
      <c r="Y7" s="2">
        <f>VLOOKUP(B7,Rank_Data_All,9,FALSE)</f>
        <v>81</v>
      </c>
      <c r="Z7" s="2"/>
      <c r="AA7" s="47">
        <v>26160</v>
      </c>
      <c r="AB7" s="47">
        <v>8966</v>
      </c>
      <c r="AC7" s="46">
        <v>86</v>
      </c>
      <c r="AD7" s="47">
        <v>6315</v>
      </c>
      <c r="AE7" s="2" t="s">
        <v>195</v>
      </c>
      <c r="AF7" s="9" t="s">
        <v>207</v>
      </c>
      <c r="AG7" s="2"/>
      <c r="AH7" s="2"/>
    </row>
    <row r="8" spans="1:34" x14ac:dyDescent="0.25">
      <c r="A8" s="90">
        <v>38</v>
      </c>
      <c r="B8" s="39" t="s">
        <v>122</v>
      </c>
      <c r="C8" s="2" t="s">
        <v>66</v>
      </c>
      <c r="D8" s="2" t="s">
        <v>74</v>
      </c>
      <c r="E8" s="2" t="s">
        <v>56</v>
      </c>
      <c r="F8" s="2">
        <v>50</v>
      </c>
      <c r="G8" s="20" t="s">
        <v>774</v>
      </c>
      <c r="H8" s="20" t="s">
        <v>259</v>
      </c>
      <c r="I8" s="2"/>
      <c r="J8" s="87" t="s">
        <v>291</v>
      </c>
      <c r="K8" s="87"/>
      <c r="L8" s="29"/>
      <c r="M8" s="2" t="s">
        <v>160</v>
      </c>
      <c r="N8" s="3">
        <v>32096</v>
      </c>
      <c r="O8" s="3">
        <v>13810</v>
      </c>
      <c r="P8" s="3">
        <f>N8+O8</f>
        <v>45906</v>
      </c>
      <c r="Q8" s="3"/>
      <c r="R8" s="2"/>
      <c r="S8" s="2">
        <f>VLOOKUP(B8,Overall_Rank,2,)</f>
        <v>11</v>
      </c>
      <c r="T8" s="2">
        <f>VLOOKUP(B8,Rank_Data_All,3,FALSE)</f>
        <v>71</v>
      </c>
      <c r="U8" s="2">
        <f>VLOOKUP(B8,Rank_Data_All,5,FALSE)</f>
        <v>28</v>
      </c>
      <c r="V8" s="2">
        <v>5.4000000000000003E-3</v>
      </c>
      <c r="W8" s="2">
        <v>65.599999999999994</v>
      </c>
      <c r="X8" s="2">
        <f>VLOOKUP(B8,Rank_Data_All,37,FALSE)</f>
        <v>62.56</v>
      </c>
      <c r="Y8" s="2">
        <f>VLOOKUP(B8,Rank_Data_All,9,FALSE)</f>
        <v>73.900000000000006</v>
      </c>
      <c r="Z8" s="2"/>
      <c r="AA8" s="47">
        <v>43283</v>
      </c>
      <c r="AB8" s="47">
        <v>9775</v>
      </c>
      <c r="AC8" s="46">
        <v>49</v>
      </c>
      <c r="AD8" s="47">
        <v>2639</v>
      </c>
      <c r="AE8" s="2"/>
      <c r="AF8" s="9" t="s">
        <v>214</v>
      </c>
      <c r="AG8" s="2"/>
      <c r="AH8" s="2"/>
    </row>
    <row r="9" spans="1:34" x14ac:dyDescent="0.25">
      <c r="A9" s="90">
        <v>35</v>
      </c>
      <c r="B9" s="44" t="s">
        <v>398</v>
      </c>
      <c r="C9" s="2" t="s">
        <v>144</v>
      </c>
      <c r="D9" s="2" t="s">
        <v>95</v>
      </c>
      <c r="E9" s="2" t="s">
        <v>56</v>
      </c>
      <c r="F9" s="2">
        <v>80</v>
      </c>
      <c r="G9" s="20" t="s">
        <v>774</v>
      </c>
      <c r="H9" s="20" t="s">
        <v>271</v>
      </c>
      <c r="I9" s="2"/>
      <c r="J9" s="2"/>
      <c r="K9" s="15">
        <v>43435</v>
      </c>
      <c r="L9" s="29">
        <v>87</v>
      </c>
      <c r="M9" s="2" t="s">
        <v>160</v>
      </c>
      <c r="N9" s="3">
        <v>28429</v>
      </c>
      <c r="O9" s="3">
        <v>19438</v>
      </c>
      <c r="P9" s="3">
        <f>N9+O9</f>
        <v>47867</v>
      </c>
      <c r="Q9" s="3"/>
      <c r="R9" s="2"/>
      <c r="S9" s="2">
        <f>VLOOKUP(B9,Overall_Rank,2,)</f>
        <v>12</v>
      </c>
      <c r="T9" s="2">
        <f>VLOOKUP(B9,Rank_Data_All,3,FALSE)</f>
        <v>32</v>
      </c>
      <c r="U9" s="2">
        <f>VLOOKUP(B9,Rank_Data_All,5,FALSE)</f>
        <v>13</v>
      </c>
      <c r="V9" s="2">
        <v>0.3135</v>
      </c>
      <c r="W9" s="2">
        <v>17.3</v>
      </c>
      <c r="X9" s="2">
        <f>VLOOKUP(B9,Rank_Data_All,37,FALSE)</f>
        <v>54.83</v>
      </c>
      <c r="Y9" s="2">
        <f>VLOOKUP(B9,Rank_Data_All,9,FALSE)</f>
        <v>85.9</v>
      </c>
      <c r="Z9" s="2"/>
      <c r="AA9" s="47">
        <v>43800</v>
      </c>
      <c r="AB9" s="47">
        <v>6955</v>
      </c>
      <c r="AC9" s="46">
        <v>48</v>
      </c>
      <c r="AD9" s="47">
        <v>4079</v>
      </c>
      <c r="AE9" s="2" t="s">
        <v>732</v>
      </c>
      <c r="AF9" s="9" t="s">
        <v>219</v>
      </c>
      <c r="AG9" s="2"/>
      <c r="AH9" s="2"/>
    </row>
    <row r="10" spans="1:34" x14ac:dyDescent="0.25">
      <c r="A10" s="90">
        <v>25</v>
      </c>
      <c r="B10" s="39" t="s">
        <v>80</v>
      </c>
      <c r="C10" s="2" t="s">
        <v>105</v>
      </c>
      <c r="D10" s="2" t="s">
        <v>58</v>
      </c>
      <c r="E10" s="2" t="s">
        <v>56</v>
      </c>
      <c r="F10" s="2">
        <v>60</v>
      </c>
      <c r="G10" s="20" t="s">
        <v>774</v>
      </c>
      <c r="H10" s="20" t="s">
        <v>745</v>
      </c>
      <c r="I10" s="2"/>
      <c r="J10" s="15">
        <v>43419</v>
      </c>
      <c r="K10" s="15">
        <v>43539</v>
      </c>
      <c r="L10" s="29">
        <v>100</v>
      </c>
      <c r="M10" s="2" t="s">
        <v>160</v>
      </c>
      <c r="N10" s="3">
        <v>55687</v>
      </c>
      <c r="O10" s="3">
        <v>17212</v>
      </c>
      <c r="P10" s="3">
        <f>N10+O10</f>
        <v>72899</v>
      </c>
      <c r="Q10" s="3"/>
      <c r="R10" s="2"/>
      <c r="S10" s="2">
        <f>VLOOKUP(B10,Overall_Rank,2,)</f>
        <v>13</v>
      </c>
      <c r="T10" s="2">
        <f>VLOOKUP(B10,Rank_Data_All,3,FALSE)</f>
        <v>19</v>
      </c>
      <c r="U10" s="2">
        <f>VLOOKUP(B10,Rank_Data_All,5,FALSE)</f>
        <v>37</v>
      </c>
      <c r="V10" s="2">
        <v>0.24990000000000001</v>
      </c>
      <c r="W10" s="2">
        <v>10.199999999999999</v>
      </c>
      <c r="X10" s="2">
        <f>VLOOKUP(B10,Rank_Data_All,37,FALSE)</f>
        <v>54.03</v>
      </c>
      <c r="Y10" s="2">
        <f>VLOOKUP(B10,Rank_Data_All,9,FALSE)</f>
        <v>79</v>
      </c>
      <c r="Z10" s="2"/>
      <c r="AA10" s="47">
        <v>20852</v>
      </c>
      <c r="AB10" s="47">
        <v>4450</v>
      </c>
      <c r="AC10" s="46">
        <v>72</v>
      </c>
      <c r="AD10" s="47">
        <v>5703</v>
      </c>
      <c r="AE10" s="2"/>
      <c r="AF10" s="9" t="s">
        <v>207</v>
      </c>
      <c r="AG10" s="2"/>
      <c r="AH10" s="2"/>
    </row>
    <row r="11" spans="1:34" x14ac:dyDescent="0.25">
      <c r="A11" s="90">
        <v>37</v>
      </c>
      <c r="B11" s="39" t="s">
        <v>121</v>
      </c>
      <c r="C11" s="2" t="s">
        <v>137</v>
      </c>
      <c r="D11" s="2" t="s">
        <v>83</v>
      </c>
      <c r="E11" s="2" t="s">
        <v>56</v>
      </c>
      <c r="F11" s="2">
        <v>40</v>
      </c>
      <c r="G11" s="20" t="s">
        <v>774</v>
      </c>
      <c r="H11" s="20" t="s">
        <v>259</v>
      </c>
      <c r="I11" s="2"/>
      <c r="J11" s="2"/>
      <c r="K11" s="15">
        <v>43449</v>
      </c>
      <c r="L11" s="29"/>
      <c r="M11" s="2" t="s">
        <v>160</v>
      </c>
      <c r="N11" s="3">
        <v>37838</v>
      </c>
      <c r="O11" s="3">
        <v>14380</v>
      </c>
      <c r="P11" s="3">
        <f>N11+O11</f>
        <v>52218</v>
      </c>
      <c r="Q11" s="3"/>
      <c r="R11" s="2"/>
      <c r="S11" s="2">
        <f>VLOOKUP(B11,Overall_Rank,2,)</f>
        <v>14</v>
      </c>
      <c r="T11" s="2">
        <f>VLOOKUP(B11,Rank_Data_All,3,FALSE)</f>
        <v>63</v>
      </c>
      <c r="U11" s="2">
        <f>VLOOKUP(B11,Rank_Data_All,5,FALSE)</f>
        <v>27</v>
      </c>
      <c r="V11" s="2">
        <v>0.3029</v>
      </c>
      <c r="W11" s="2">
        <v>9</v>
      </c>
      <c r="X11" s="2">
        <f>VLOOKUP(B11,Rank_Data_All,37,FALSE)</f>
        <v>61.25</v>
      </c>
      <c r="Y11" s="2">
        <f>VLOOKUP(B11,Rank_Data_All,9,FALSE)</f>
        <v>74.7</v>
      </c>
      <c r="Z11" s="2"/>
      <c r="AA11" s="47">
        <v>48485</v>
      </c>
      <c r="AB11" s="45">
        <v>4973</v>
      </c>
      <c r="AC11" s="46">
        <v>60</v>
      </c>
      <c r="AD11" s="45">
        <v>2856</v>
      </c>
      <c r="AE11" s="2"/>
      <c r="AF11" s="9" t="s">
        <v>218</v>
      </c>
      <c r="AG11" s="2"/>
      <c r="AH11" s="2" t="s">
        <v>710</v>
      </c>
    </row>
    <row r="12" spans="1:34" x14ac:dyDescent="0.25">
      <c r="A12" s="90">
        <v>17</v>
      </c>
      <c r="B12" s="44" t="s">
        <v>399</v>
      </c>
      <c r="C12" s="2" t="s">
        <v>96</v>
      </c>
      <c r="D12" s="2" t="s">
        <v>95</v>
      </c>
      <c r="E12" s="2" t="s">
        <v>56</v>
      </c>
      <c r="F12" s="2">
        <v>70</v>
      </c>
      <c r="G12" s="20" t="s">
        <v>774</v>
      </c>
      <c r="H12" s="20"/>
      <c r="I12" s="2"/>
      <c r="J12" s="2"/>
      <c r="K12" s="15">
        <v>43816</v>
      </c>
      <c r="L12" s="29">
        <v>85</v>
      </c>
      <c r="M12" s="2" t="s">
        <v>160</v>
      </c>
      <c r="N12" s="3">
        <f>17007+15102</f>
        <v>32109</v>
      </c>
      <c r="O12" s="3">
        <f>13116+1371+2748+2313</f>
        <v>19548</v>
      </c>
      <c r="P12" s="3">
        <f>N12+O12</f>
        <v>51657</v>
      </c>
      <c r="Q12" s="3"/>
      <c r="R12" s="2"/>
      <c r="S12" s="2">
        <f>VLOOKUP(B12,Overall_Rank,2,)</f>
        <v>15</v>
      </c>
      <c r="T12" s="2">
        <f>VLOOKUP(B12,Rank_Data_All,3,FALSE)</f>
        <v>41</v>
      </c>
      <c r="U12" s="2">
        <f>VLOOKUP(B12,Rank_Data_All,5,FALSE)</f>
        <v>45</v>
      </c>
      <c r="V12" s="2">
        <v>0.15040000000000001</v>
      </c>
      <c r="W12" s="2">
        <v>33.700000000000003</v>
      </c>
      <c r="X12" s="2">
        <f>VLOOKUP(B12,Rank_Data_All,37,FALSE)</f>
        <v>54.92</v>
      </c>
      <c r="Y12" s="2">
        <f>VLOOKUP(B12,Rank_Data_All,9,FALSE)</f>
        <v>66.8</v>
      </c>
      <c r="Z12" s="2"/>
      <c r="AA12" s="47">
        <v>33935</v>
      </c>
      <c r="AB12" s="47">
        <v>7928</v>
      </c>
      <c r="AC12" s="46">
        <v>33</v>
      </c>
      <c r="AD12" s="47">
        <v>3868</v>
      </c>
      <c r="AE12" s="2"/>
      <c r="AF12" s="9" t="s">
        <v>222</v>
      </c>
      <c r="AG12" s="2"/>
      <c r="AH12" s="2"/>
    </row>
    <row r="13" spans="1:34" x14ac:dyDescent="0.25">
      <c r="A13" s="90">
        <v>41</v>
      </c>
      <c r="B13" s="11" t="s">
        <v>125</v>
      </c>
      <c r="C13" s="2" t="s">
        <v>144</v>
      </c>
      <c r="D13" s="2" t="s">
        <v>95</v>
      </c>
      <c r="E13" s="2" t="s">
        <v>56</v>
      </c>
      <c r="F13" s="2">
        <v>70</v>
      </c>
      <c r="G13" s="20" t="s">
        <v>774</v>
      </c>
      <c r="H13" s="6" t="s">
        <v>259</v>
      </c>
      <c r="I13" s="2">
        <v>1</v>
      </c>
      <c r="J13" s="15">
        <v>43449</v>
      </c>
      <c r="K13" s="15">
        <v>43480</v>
      </c>
      <c r="L13" s="29">
        <v>90</v>
      </c>
      <c r="M13" s="2" t="s">
        <v>160</v>
      </c>
      <c r="N13" s="3">
        <v>45790</v>
      </c>
      <c r="O13" s="3">
        <v>17289</v>
      </c>
      <c r="P13" s="3">
        <f>N13+O13</f>
        <v>63079</v>
      </c>
      <c r="Q13" s="3"/>
      <c r="R13" s="2"/>
      <c r="S13" s="2">
        <f>VLOOKUP(B13,Overall_Rank,2,)</f>
        <v>17</v>
      </c>
      <c r="T13" s="2">
        <f>VLOOKUP(B13,Rank_Data_All,3,FALSE)</f>
        <v>115</v>
      </c>
      <c r="U13" s="2">
        <f>VLOOKUP(B13,Rank_Data_All,5,FALSE)</f>
        <v>47</v>
      </c>
      <c r="V13" s="2">
        <v>0.3135</v>
      </c>
      <c r="W13" s="2">
        <v>17.7</v>
      </c>
      <c r="X13" s="2">
        <f>VLOOKUP(B13,Rank_Data_All,37,FALSE)</f>
        <v>55.58</v>
      </c>
      <c r="Y13" s="2">
        <f>VLOOKUP(B13,Rank_Data_All,9,FALSE)</f>
        <v>69.7</v>
      </c>
      <c r="Z13" s="2"/>
      <c r="AA13" s="47">
        <v>30617</v>
      </c>
      <c r="AB13" s="47">
        <v>9595</v>
      </c>
      <c r="AC13" s="46">
        <v>74</v>
      </c>
      <c r="AD13" s="47">
        <v>3185</v>
      </c>
      <c r="AE13" s="2"/>
      <c r="AF13" s="9" t="s">
        <v>217</v>
      </c>
      <c r="AG13" s="2"/>
      <c r="AH13" s="2"/>
    </row>
    <row r="14" spans="1:34" x14ac:dyDescent="0.25">
      <c r="A14" s="90">
        <v>6</v>
      </c>
      <c r="B14" s="39" t="s">
        <v>11</v>
      </c>
      <c r="C14" s="2" t="s">
        <v>70</v>
      </c>
      <c r="D14" s="2" t="s">
        <v>69</v>
      </c>
      <c r="E14" s="2" t="s">
        <v>56</v>
      </c>
      <c r="F14" s="2">
        <v>50</v>
      </c>
      <c r="G14" s="20" t="s">
        <v>774</v>
      </c>
      <c r="H14" s="20" t="s">
        <v>264</v>
      </c>
      <c r="I14" s="2"/>
      <c r="J14" s="2"/>
      <c r="K14" s="22" t="s">
        <v>296</v>
      </c>
      <c r="L14" s="29">
        <v>100</v>
      </c>
      <c r="M14" s="2" t="s">
        <v>160</v>
      </c>
      <c r="N14" s="3">
        <v>51828</v>
      </c>
      <c r="O14" s="3">
        <v>22848</v>
      </c>
      <c r="P14" s="3">
        <f>N14+O14</f>
        <v>74676</v>
      </c>
      <c r="Q14" s="3"/>
      <c r="R14" s="2"/>
      <c r="S14" s="2">
        <f>VLOOKUP(B14,Overall_Rank,2,)</f>
        <v>20</v>
      </c>
      <c r="T14" s="2">
        <f>VLOOKUP(B14,Rank_Data_All,3,FALSE)</f>
        <v>43</v>
      </c>
      <c r="U14" s="2">
        <f>VLOOKUP(B14,Rank_Data_All,5,FALSE)</f>
        <v>33</v>
      </c>
      <c r="V14" s="2">
        <v>0.81220000000000003</v>
      </c>
      <c r="W14" s="2">
        <v>32.1</v>
      </c>
      <c r="X14" s="2">
        <f>VLOOKUP(B14,Rank_Data_All,37,FALSE)</f>
        <v>52.56</v>
      </c>
      <c r="Y14" s="2">
        <f>VLOOKUP(B14,Rank_Data_All,9,FALSE)</f>
        <v>76.099999999999994</v>
      </c>
      <c r="Z14" s="2"/>
      <c r="AA14" s="47">
        <v>44433</v>
      </c>
      <c r="AB14" s="47">
        <v>14013</v>
      </c>
      <c r="AC14" s="46">
        <v>59</v>
      </c>
      <c r="AD14" s="47">
        <v>7985</v>
      </c>
      <c r="AE14" s="2"/>
      <c r="AF14" s="9" t="s">
        <v>216</v>
      </c>
      <c r="AG14" s="2"/>
      <c r="AH14" s="2" t="s">
        <v>295</v>
      </c>
    </row>
    <row r="15" spans="1:34" x14ac:dyDescent="0.25">
      <c r="A15" s="90">
        <v>4</v>
      </c>
      <c r="B15" s="57" t="s">
        <v>410</v>
      </c>
      <c r="C15" s="2" t="s">
        <v>65</v>
      </c>
      <c r="D15" s="2" t="s">
        <v>66</v>
      </c>
      <c r="E15" s="2" t="s">
        <v>64</v>
      </c>
      <c r="F15" s="2">
        <v>50</v>
      </c>
      <c r="G15" s="20" t="s">
        <v>774</v>
      </c>
      <c r="H15" s="20" t="s">
        <v>263</v>
      </c>
      <c r="I15" s="2"/>
      <c r="J15" s="2"/>
      <c r="K15" s="15">
        <v>43449</v>
      </c>
      <c r="L15" s="29">
        <v>100</v>
      </c>
      <c r="M15" s="2" t="s">
        <v>161</v>
      </c>
      <c r="N15" s="3">
        <v>1060</v>
      </c>
      <c r="O15" s="3">
        <f>2250*12</f>
        <v>27000</v>
      </c>
      <c r="P15" s="3">
        <f>N15+O15</f>
        <v>28060</v>
      </c>
      <c r="Q15" s="3"/>
      <c r="R15" s="2"/>
      <c r="S15" s="2">
        <f>VLOOKUP(B15,Overall_Rank,2,)</f>
        <v>21</v>
      </c>
      <c r="T15" s="2">
        <f>VLOOKUP(B15,Rank_Data_All,3,FALSE)</f>
        <v>7</v>
      </c>
      <c r="U15" s="2">
        <f>VLOOKUP(B15,Rank_Data_All,5,FALSE)</f>
        <v>9</v>
      </c>
      <c r="V15" s="2">
        <v>5.3999999999999999E-2</v>
      </c>
      <c r="W15" s="2"/>
      <c r="X15" s="2">
        <f>VLOOKUP(B15,Rank_Data_All,37,FALSE)</f>
        <v>52.76</v>
      </c>
      <c r="Y15" s="2">
        <f>VLOOKUP(B15,Rank_Data_All,9,FALSE)</f>
        <v>81.3</v>
      </c>
      <c r="Z15" s="2"/>
      <c r="AA15" s="47">
        <v>18003</v>
      </c>
      <c r="AB15" s="47">
        <v>6863</v>
      </c>
      <c r="AC15" s="46">
        <v>74</v>
      </c>
      <c r="AD15" s="47">
        <v>2621</v>
      </c>
      <c r="AE15" s="2" t="s">
        <v>199</v>
      </c>
      <c r="AF15" s="9" t="s">
        <v>215</v>
      </c>
      <c r="AG15" s="2"/>
      <c r="AH15" s="2"/>
    </row>
    <row r="16" spans="1:34" x14ac:dyDescent="0.25">
      <c r="A16" s="90">
        <v>26</v>
      </c>
      <c r="B16" s="44" t="s">
        <v>400</v>
      </c>
      <c r="C16" s="2" t="s">
        <v>130</v>
      </c>
      <c r="D16" s="2" t="s">
        <v>129</v>
      </c>
      <c r="E16" s="2" t="s">
        <v>56</v>
      </c>
      <c r="F16" s="2">
        <v>80</v>
      </c>
      <c r="G16" s="20" t="s">
        <v>776</v>
      </c>
      <c r="H16" s="20" t="s">
        <v>771</v>
      </c>
      <c r="I16" s="2"/>
      <c r="J16" s="2"/>
      <c r="K16" s="15">
        <v>43448</v>
      </c>
      <c r="L16" s="29">
        <v>100</v>
      </c>
      <c r="M16" s="2" t="s">
        <v>160</v>
      </c>
      <c r="N16" s="3">
        <v>34498</v>
      </c>
      <c r="O16" s="3">
        <v>15004</v>
      </c>
      <c r="P16" s="3">
        <f>N16+O16</f>
        <v>49502</v>
      </c>
      <c r="Q16" s="3"/>
      <c r="R16" s="2"/>
      <c r="S16" s="2">
        <f>VLOOKUP(B16,Overall_Rank,2,)</f>
        <v>22</v>
      </c>
      <c r="T16" s="2">
        <f>VLOOKUP(B16,Rank_Data_All,3,FALSE)</f>
        <v>126</v>
      </c>
      <c r="U16" s="2">
        <f>VLOOKUP(B16,Rank_Data_All,5,FALSE)</f>
        <v>75</v>
      </c>
      <c r="V16" s="2">
        <v>0.99529999999999996</v>
      </c>
      <c r="W16" s="2">
        <v>44.9</v>
      </c>
      <c r="X16" s="2">
        <f>VLOOKUP(B16,Rank_Data_All,37,FALSE)</f>
        <v>56.64</v>
      </c>
      <c r="Y16" s="2">
        <f>VLOOKUP(B16,Rank_Data_All,9,FALSE)</f>
        <v>59.2</v>
      </c>
      <c r="Z16" s="2"/>
      <c r="AA16" s="47">
        <v>35670</v>
      </c>
      <c r="AB16" s="47">
        <v>4522</v>
      </c>
      <c r="AC16" s="46">
        <v>76</v>
      </c>
      <c r="AD16" s="47">
        <v>3712</v>
      </c>
      <c r="AE16" s="2"/>
      <c r="AF16" s="9" t="s">
        <v>224</v>
      </c>
      <c r="AG16" s="2"/>
      <c r="AH16" s="2"/>
    </row>
    <row r="17" spans="1:34" x14ac:dyDescent="0.25">
      <c r="A17" s="90">
        <v>27</v>
      </c>
      <c r="B17" s="2" t="s">
        <v>395</v>
      </c>
      <c r="C17" s="2" t="s">
        <v>134</v>
      </c>
      <c r="D17" s="2" t="s">
        <v>133</v>
      </c>
      <c r="E17" s="2" t="s">
        <v>56</v>
      </c>
      <c r="F17" s="2">
        <v>70</v>
      </c>
      <c r="G17" s="20" t="s">
        <v>776</v>
      </c>
      <c r="H17" s="20" t="s">
        <v>792</v>
      </c>
      <c r="I17" s="2"/>
      <c r="J17" s="87" t="s">
        <v>291</v>
      </c>
      <c r="K17" s="87"/>
      <c r="L17" s="29"/>
      <c r="M17" s="2" t="s">
        <v>160</v>
      </c>
      <c r="N17" s="3">
        <v>25468</v>
      </c>
      <c r="O17" s="3">
        <f>13500 + 4351 + 1200 + 1392</f>
        <v>20443</v>
      </c>
      <c r="P17" s="3">
        <f>N17+O17</f>
        <v>45911</v>
      </c>
      <c r="Q17" s="3"/>
      <c r="R17" s="2"/>
      <c r="S17" s="2">
        <f>VLOOKUP(B17,Overall_Rank,2,)</f>
        <v>23</v>
      </c>
      <c r="T17" s="2">
        <f>VLOOKUP(B17,Rank_Data_All,3,FALSE)</f>
        <v>53</v>
      </c>
      <c r="U17" s="2">
        <f>VLOOKUP(B17,Rank_Data_All,5,FALSE)</f>
        <v>75</v>
      </c>
      <c r="V17" s="2">
        <v>3.2000000000000001E-2</v>
      </c>
      <c r="W17" s="2">
        <v>57.6</v>
      </c>
      <c r="X17" s="2">
        <f>VLOOKUP(B17,Rank_Data_All,37,FALSE)</f>
        <v>52.41</v>
      </c>
      <c r="Y17" s="2">
        <f>VLOOKUP(B17,Rank_Data_All,9,FALSE)</f>
        <v>69.099999999999994</v>
      </c>
      <c r="Z17" s="2"/>
      <c r="AA17" s="47">
        <v>39282</v>
      </c>
      <c r="AB17" s="47">
        <v>5145</v>
      </c>
      <c r="AC17" s="46">
        <v>48</v>
      </c>
      <c r="AD17" s="47">
        <v>5810</v>
      </c>
      <c r="AE17" s="2" t="s">
        <v>794</v>
      </c>
      <c r="AF17" s="9" t="s">
        <v>218</v>
      </c>
      <c r="AG17" s="2"/>
      <c r="AH17" s="2"/>
    </row>
    <row r="18" spans="1:34" x14ac:dyDescent="0.25">
      <c r="A18" s="13">
        <v>21</v>
      </c>
      <c r="B18" s="57" t="s">
        <v>44</v>
      </c>
      <c r="C18" s="2" t="s">
        <v>45</v>
      </c>
      <c r="D18" s="2" t="s">
        <v>66</v>
      </c>
      <c r="E18" s="2" t="s">
        <v>99</v>
      </c>
      <c r="F18" s="2"/>
      <c r="G18" s="20" t="s">
        <v>776</v>
      </c>
      <c r="H18" s="20" t="s">
        <v>274</v>
      </c>
      <c r="I18" s="2"/>
      <c r="J18" s="2"/>
      <c r="K18" s="2"/>
      <c r="L18" s="29">
        <v>100</v>
      </c>
      <c r="M18" s="2" t="s">
        <v>165</v>
      </c>
      <c r="N18" s="3">
        <v>30500</v>
      </c>
      <c r="O18" s="3">
        <v>11768</v>
      </c>
      <c r="P18" s="3">
        <f>N18+O18</f>
        <v>42268</v>
      </c>
      <c r="Q18" s="3"/>
      <c r="R18" s="2"/>
      <c r="S18" s="2">
        <f>VLOOKUP(B18,Overall_Rank,2,)</f>
        <v>24</v>
      </c>
      <c r="T18" s="2">
        <f>VLOOKUP(B18,Rank_Data_All,3,FALSE)</f>
        <v>8</v>
      </c>
      <c r="U18" s="2">
        <f>VLOOKUP(B18,Rank_Data_All,5,FALSE)</f>
        <v>12</v>
      </c>
      <c r="V18" s="2">
        <v>0.75349999999999995</v>
      </c>
      <c r="W18" s="2">
        <v>14.3</v>
      </c>
      <c r="X18" s="2">
        <f>VLOOKUP(B18,Rank_Data_All,37,FALSE)</f>
        <v>50.39</v>
      </c>
      <c r="Y18" s="2">
        <f>VLOOKUP(B18,Rank_Data_All,9,FALSE)</f>
        <v>88.9</v>
      </c>
      <c r="Z18" s="2"/>
      <c r="AA18" s="47">
        <v>16797</v>
      </c>
      <c r="AB18" s="47">
        <v>9395</v>
      </c>
      <c r="AC18" s="46">
        <v>53</v>
      </c>
      <c r="AD18" s="47">
        <v>3883</v>
      </c>
      <c r="AE18" s="2"/>
      <c r="AF18" s="9" t="s">
        <v>227</v>
      </c>
      <c r="AG18" s="2"/>
      <c r="AH18" s="2" t="s">
        <v>311</v>
      </c>
    </row>
    <row r="19" spans="1:34" x14ac:dyDescent="0.25">
      <c r="A19" s="90">
        <v>24</v>
      </c>
      <c r="B19" s="57" t="s">
        <v>50</v>
      </c>
      <c r="C19" s="2" t="s">
        <v>102</v>
      </c>
      <c r="D19" s="2" t="s">
        <v>66</v>
      </c>
      <c r="E19" s="2" t="s">
        <v>64</v>
      </c>
      <c r="F19" s="2"/>
      <c r="G19" s="20" t="s">
        <v>776</v>
      </c>
      <c r="H19" s="20" t="s">
        <v>263</v>
      </c>
      <c r="I19" s="2">
        <v>1</v>
      </c>
      <c r="J19" s="15">
        <v>43480</v>
      </c>
      <c r="K19" s="15">
        <v>43570</v>
      </c>
      <c r="L19" s="29" t="s">
        <v>292</v>
      </c>
      <c r="M19" s="2" t="s">
        <v>161</v>
      </c>
      <c r="N19" s="3">
        <v>1266</v>
      </c>
      <c r="O19" s="3">
        <v>24100</v>
      </c>
      <c r="P19" s="3">
        <f>N19+O19</f>
        <v>25366</v>
      </c>
      <c r="Q19" s="3"/>
      <c r="R19" s="2"/>
      <c r="S19" s="2">
        <f>VLOOKUP(B19,Overall_Rank,2,)</f>
        <v>26</v>
      </c>
      <c r="T19" s="2">
        <f>VLOOKUP(B19,Rank_Data_All,3,FALSE)</f>
        <v>22</v>
      </c>
      <c r="U19" s="2">
        <f>VLOOKUP(B19,Rank_Data_All,5,FALSE)</f>
        <v>18</v>
      </c>
      <c r="V19" s="2">
        <v>6.1000000000000004E-3</v>
      </c>
      <c r="W19" s="2"/>
      <c r="X19" s="2">
        <f>VLOOKUP(B19,Rank_Data_All,37,FALSE)</f>
        <v>49.75</v>
      </c>
      <c r="Y19" s="2">
        <f>VLOOKUP(B19,Rank_Data_All,9,FALSE)</f>
        <v>78.400000000000006</v>
      </c>
      <c r="Z19" s="2"/>
      <c r="AA19" s="47">
        <v>10492</v>
      </c>
      <c r="AB19" s="47">
        <v>6155</v>
      </c>
      <c r="AC19" s="46">
        <v>56</v>
      </c>
      <c r="AD19" s="47">
        <v>1744</v>
      </c>
      <c r="AE19" s="2"/>
      <c r="AF19" s="9" t="s">
        <v>215</v>
      </c>
      <c r="AG19" s="2"/>
      <c r="AH19" s="2"/>
    </row>
    <row r="20" spans="1:34" x14ac:dyDescent="0.25">
      <c r="A20" s="90">
        <v>44</v>
      </c>
      <c r="B20" s="43" t="s">
        <v>128</v>
      </c>
      <c r="C20" s="2" t="s">
        <v>153</v>
      </c>
      <c r="D20" s="2" t="s">
        <v>129</v>
      </c>
      <c r="E20" s="2" t="s">
        <v>56</v>
      </c>
      <c r="F20" s="2">
        <v>40</v>
      </c>
      <c r="G20" s="20" t="s">
        <v>776</v>
      </c>
      <c r="H20" s="20" t="s">
        <v>671</v>
      </c>
      <c r="I20" s="2"/>
      <c r="J20" s="2"/>
      <c r="K20" s="15">
        <v>43511</v>
      </c>
      <c r="L20" s="29"/>
      <c r="M20" s="2" t="s">
        <v>160</v>
      </c>
      <c r="N20" s="3">
        <v>55955</v>
      </c>
      <c r="O20" s="3">
        <v>16918</v>
      </c>
      <c r="P20" s="3">
        <f>N20+O20</f>
        <v>72873</v>
      </c>
      <c r="Q20" s="3"/>
      <c r="R20" s="2"/>
      <c r="S20" s="2">
        <f>VLOOKUP(B20,Overall_Rank,2,)</f>
        <v>28</v>
      </c>
      <c r="T20" s="2">
        <f>VLOOKUP(B20,Rank_Data_All,3,FALSE)</f>
        <v>21</v>
      </c>
      <c r="U20" s="2">
        <f>VLOOKUP(B20,Rank_Data_All,5,FALSE)</f>
        <v>75</v>
      </c>
      <c r="V20" s="2">
        <v>0.3322</v>
      </c>
      <c r="W20" s="2">
        <v>14.1</v>
      </c>
      <c r="X20" s="2">
        <f>VLOOKUP(B20,Rank_Data_All,37,FALSE)</f>
        <v>44.8</v>
      </c>
      <c r="Y20" s="2">
        <f>VLOOKUP(B20,Rank_Data_All,9,FALSE)</f>
        <v>69.5</v>
      </c>
      <c r="Z20" s="2"/>
      <c r="AA20" s="47">
        <v>16657</v>
      </c>
      <c r="AB20" s="45">
        <v>4346</v>
      </c>
      <c r="AC20" s="46">
        <v>81</v>
      </c>
      <c r="AD20" s="47">
        <v>4593</v>
      </c>
      <c r="AE20" s="2" t="s">
        <v>679</v>
      </c>
      <c r="AF20" s="9" t="s">
        <v>215</v>
      </c>
      <c r="AG20" s="2"/>
      <c r="AH20" s="2" t="s">
        <v>692</v>
      </c>
    </row>
    <row r="21" spans="1:34" x14ac:dyDescent="0.25">
      <c r="A21" s="13">
        <v>11</v>
      </c>
      <c r="B21" s="2" t="s">
        <v>16</v>
      </c>
      <c r="C21" s="2" t="s">
        <v>82</v>
      </c>
      <c r="D21" s="2" t="s">
        <v>81</v>
      </c>
      <c r="E21" s="2" t="s">
        <v>56</v>
      </c>
      <c r="F21" s="2"/>
      <c r="G21" s="20" t="s">
        <v>776</v>
      </c>
      <c r="H21" s="20" t="s">
        <v>268</v>
      </c>
      <c r="I21" s="2"/>
      <c r="J21" s="2"/>
      <c r="K21" s="15">
        <v>43454</v>
      </c>
      <c r="L21" s="29">
        <v>100</v>
      </c>
      <c r="M21" s="2" t="s">
        <v>160</v>
      </c>
      <c r="N21" s="3">
        <v>30794</v>
      </c>
      <c r="O21" s="3">
        <v>12970</v>
      </c>
      <c r="P21" s="3">
        <f>N21+O21</f>
        <v>43764</v>
      </c>
      <c r="Q21" s="3"/>
      <c r="R21" s="2"/>
      <c r="S21" s="2">
        <f>VLOOKUP(B21,Overall_Rank,2,)</f>
        <v>29</v>
      </c>
      <c r="T21" s="2">
        <f>VLOOKUP(B21,Rank_Data_All,3,FALSE)</f>
        <v>100</v>
      </c>
      <c r="U21" s="2">
        <f>VLOOKUP(B21,Rank_Data_All,5,FALSE)</f>
        <v>75</v>
      </c>
      <c r="V21" s="2">
        <v>2E-3</v>
      </c>
      <c r="W21" s="2">
        <v>59</v>
      </c>
      <c r="X21" s="2">
        <f>VLOOKUP(B21,Rank_Data_All,37,FALSE)</f>
        <v>52.35</v>
      </c>
      <c r="Y21" s="2">
        <f>VLOOKUP(B21,Rank_Data_All,9,FALSE)</f>
        <v>74.900000000000006</v>
      </c>
      <c r="Z21" s="2"/>
      <c r="AA21" s="47">
        <v>37670</v>
      </c>
      <c r="AB21" s="47">
        <v>8431</v>
      </c>
      <c r="AC21" s="46">
        <v>41</v>
      </c>
      <c r="AD21" s="47">
        <v>3247</v>
      </c>
      <c r="AE21" s="2"/>
      <c r="AF21" s="9" t="s">
        <v>219</v>
      </c>
      <c r="AG21" s="2"/>
      <c r="AH21" s="2"/>
    </row>
    <row r="22" spans="1:34" x14ac:dyDescent="0.25">
      <c r="A22" s="90">
        <v>39</v>
      </c>
      <c r="B22" s="2" t="s">
        <v>123</v>
      </c>
      <c r="C22" s="2" t="s">
        <v>150</v>
      </c>
      <c r="D22" s="2" t="s">
        <v>149</v>
      </c>
      <c r="E22" s="2" t="s">
        <v>56</v>
      </c>
      <c r="F22" s="2">
        <v>50</v>
      </c>
      <c r="G22" s="20" t="s">
        <v>776</v>
      </c>
      <c r="H22" s="20" t="s">
        <v>704</v>
      </c>
      <c r="I22" s="2"/>
      <c r="J22" s="2"/>
      <c r="K22" s="15">
        <v>43467</v>
      </c>
      <c r="L22" s="29"/>
      <c r="M22" s="2" t="s">
        <v>160</v>
      </c>
      <c r="N22" s="3">
        <v>53395</v>
      </c>
      <c r="O22" s="3">
        <v>16557</v>
      </c>
      <c r="P22" s="3">
        <f>N22+O22</f>
        <v>69952</v>
      </c>
      <c r="Q22" s="3"/>
      <c r="R22" s="2"/>
      <c r="S22" s="2">
        <f>VLOOKUP(B22,Overall_Rank,2,)</f>
        <v>30</v>
      </c>
      <c r="T22" s="2">
        <f>VLOOKUP(B22,Rank_Data_All,3,FALSE)</f>
        <v>15</v>
      </c>
      <c r="U22" s="2">
        <f>VLOOKUP(B22,Rank_Data_All,5,FALSE)</f>
        <v>39</v>
      </c>
      <c r="V22" s="2">
        <v>2.53E-2</v>
      </c>
      <c r="W22" s="2">
        <v>6.7</v>
      </c>
      <c r="X22" s="2">
        <f>VLOOKUP(B22,Rank_Data_All,37,FALSE)</f>
        <v>44.62</v>
      </c>
      <c r="Y22" s="2">
        <f>VLOOKUP(B22,Rank_Data_All,9,FALSE)</f>
        <v>86.8</v>
      </c>
      <c r="Z22" s="2"/>
      <c r="AA22" s="47">
        <v>12927</v>
      </c>
      <c r="AB22" s="47">
        <v>2633</v>
      </c>
      <c r="AC22" s="46">
        <v>77</v>
      </c>
      <c r="AD22" s="47">
        <v>5107</v>
      </c>
      <c r="AE22" s="2"/>
      <c r="AF22" s="9" t="s">
        <v>207</v>
      </c>
      <c r="AG22" s="2"/>
      <c r="AH22" s="2"/>
    </row>
    <row r="23" spans="1:34" x14ac:dyDescent="0.25">
      <c r="A23" s="13">
        <v>14</v>
      </c>
      <c r="B23" s="57" t="s">
        <v>437</v>
      </c>
      <c r="C23" s="2" t="s">
        <v>87</v>
      </c>
      <c r="D23" s="2" t="s">
        <v>66</v>
      </c>
      <c r="E23" s="2" t="s">
        <v>88</v>
      </c>
      <c r="F23" s="2"/>
      <c r="G23" s="20" t="s">
        <v>776</v>
      </c>
      <c r="H23" s="20" t="s">
        <v>270</v>
      </c>
      <c r="I23" s="2"/>
      <c r="J23" s="2"/>
      <c r="K23" s="15">
        <v>43449</v>
      </c>
      <c r="L23" s="29">
        <v>100</v>
      </c>
      <c r="M23" s="2" t="s">
        <v>163</v>
      </c>
      <c r="N23" s="3">
        <v>8604.66</v>
      </c>
      <c r="O23" s="3">
        <v>8279.4399999999987</v>
      </c>
      <c r="P23" s="3">
        <f>N23+O23</f>
        <v>16884.099999999999</v>
      </c>
      <c r="Q23" s="3"/>
      <c r="R23" s="3">
        <v>13684.1</v>
      </c>
      <c r="S23" s="2">
        <f>VLOOKUP(B23,Overall_Rank,2,)</f>
        <v>31</v>
      </c>
      <c r="T23" s="2">
        <f>VLOOKUP(B23,Rank_Data_All,3,FALSE)</f>
        <v>47</v>
      </c>
      <c r="U23" s="2">
        <f>VLOOKUP(B23,Rank_Data_All,5,FALSE)</f>
        <v>34</v>
      </c>
      <c r="V23" s="2">
        <v>0.1331</v>
      </c>
      <c r="W23" s="2">
        <v>52.4</v>
      </c>
      <c r="X23" s="2">
        <f>VLOOKUP(B23,Rank_Data_All,37,FALSE)</f>
        <v>50.88</v>
      </c>
      <c r="Y23" s="2">
        <f>VLOOKUP(B23,Rank_Data_All,9,FALSE)</f>
        <v>79.3</v>
      </c>
      <c r="Z23" s="2"/>
      <c r="AA23" s="47">
        <v>52970</v>
      </c>
      <c r="AB23" s="47">
        <v>13136</v>
      </c>
      <c r="AC23" s="46">
        <v>23</v>
      </c>
      <c r="AD23" s="47">
        <v>4702</v>
      </c>
      <c r="AE23" s="2"/>
      <c r="AF23" s="9" t="s">
        <v>222</v>
      </c>
      <c r="AG23" s="2"/>
      <c r="AH23" s="2"/>
    </row>
    <row r="24" spans="1:34" x14ac:dyDescent="0.25">
      <c r="A24" s="90">
        <v>43</v>
      </c>
      <c r="B24" s="2" t="s">
        <v>127</v>
      </c>
      <c r="C24" s="2" t="s">
        <v>152</v>
      </c>
      <c r="D24" s="2" t="s">
        <v>71</v>
      </c>
      <c r="E24" s="2" t="s">
        <v>56</v>
      </c>
      <c r="F24" s="2">
        <v>60</v>
      </c>
      <c r="G24" s="20" t="s">
        <v>776</v>
      </c>
      <c r="H24" s="20" t="s">
        <v>259</v>
      </c>
      <c r="I24" s="2"/>
      <c r="J24" s="2"/>
      <c r="K24" s="15">
        <v>43496</v>
      </c>
      <c r="L24" s="29">
        <v>90</v>
      </c>
      <c r="M24" s="2" t="s">
        <v>160</v>
      </c>
      <c r="N24" s="3">
        <v>55832</v>
      </c>
      <c r="O24" s="3">
        <v>17372</v>
      </c>
      <c r="P24" s="3">
        <f>N24+O24</f>
        <v>73204</v>
      </c>
      <c r="Q24" s="3"/>
      <c r="R24" s="2"/>
      <c r="S24" s="2">
        <f>VLOOKUP(B24,Overall_Rank,2,)</f>
        <v>32</v>
      </c>
      <c r="T24" s="2">
        <f>VLOOKUP(B24,Rank_Data_All,3,FALSE)</f>
        <v>26</v>
      </c>
      <c r="U24" s="2">
        <f>VLOOKUP(B24,Rank_Data_All,5,FALSE)</f>
        <v>75</v>
      </c>
      <c r="V24" s="2">
        <v>0.14630000000000001</v>
      </c>
      <c r="W24" s="2">
        <v>11.4</v>
      </c>
      <c r="X24" s="2">
        <f>VLOOKUP(B24,Rank_Data_All,37,FALSE)</f>
        <v>46.96</v>
      </c>
      <c r="Y24" s="2">
        <f>VLOOKUP(B24,Rank_Data_All,9,FALSE)</f>
        <v>70.5</v>
      </c>
      <c r="Z24" s="2"/>
      <c r="AA24" s="47">
        <v>15086</v>
      </c>
      <c r="AB24" s="47">
        <v>2849</v>
      </c>
      <c r="AC24" s="46">
        <v>77</v>
      </c>
      <c r="AD24" s="47">
        <v>3037</v>
      </c>
      <c r="AE24" s="2" t="s">
        <v>681</v>
      </c>
      <c r="AF24" s="9" t="s">
        <v>207</v>
      </c>
      <c r="AG24" s="2"/>
      <c r="AH24" s="2"/>
    </row>
    <row r="25" spans="1:34" x14ac:dyDescent="0.25">
      <c r="A25" s="90">
        <v>42</v>
      </c>
      <c r="B25" s="53" t="s">
        <v>126</v>
      </c>
      <c r="C25" s="2" t="s">
        <v>145</v>
      </c>
      <c r="D25" s="2" t="s">
        <v>61</v>
      </c>
      <c r="E25" s="2" t="s">
        <v>56</v>
      </c>
      <c r="F25" s="2">
        <v>60</v>
      </c>
      <c r="G25" s="20" t="s">
        <v>776</v>
      </c>
      <c r="H25" s="20" t="s">
        <v>356</v>
      </c>
      <c r="I25" s="2"/>
      <c r="J25" s="2"/>
      <c r="K25" s="15">
        <v>43586</v>
      </c>
      <c r="L25" s="29"/>
      <c r="M25" s="2" t="s">
        <v>160</v>
      </c>
      <c r="N25" s="3">
        <v>53613</v>
      </c>
      <c r="O25" s="3">
        <v>17630</v>
      </c>
      <c r="P25" s="3">
        <f>N25+O25</f>
        <v>71243</v>
      </c>
      <c r="Q25" s="3"/>
      <c r="R25" s="2"/>
      <c r="S25" s="2">
        <f>VLOOKUP(B25,Overall_Rank,2,)</f>
        <v>33</v>
      </c>
      <c r="T25" s="2">
        <f>VLOOKUP(B25,Rank_Data_All,3,FALSE)</f>
        <v>93</v>
      </c>
      <c r="U25" s="2">
        <f>VLOOKUP(B25,Rank_Data_All,5,FALSE)</f>
        <v>75</v>
      </c>
      <c r="V25" s="2">
        <v>0.57499999999999996</v>
      </c>
      <c r="W25" s="2">
        <v>32.6</v>
      </c>
      <c r="X25" s="2">
        <f>VLOOKUP(B25,Rank_Data_All,37,FALSE)</f>
        <v>44.68</v>
      </c>
      <c r="Y25" s="2">
        <f>VLOOKUP(B25,Rank_Data_All,9,FALSE)</f>
        <v>75.400000000000006</v>
      </c>
      <c r="Z25" s="2"/>
      <c r="AA25" s="47">
        <v>26508</v>
      </c>
      <c r="AB25" s="45">
        <v>7479</v>
      </c>
      <c r="AC25" s="46">
        <v>43</v>
      </c>
      <c r="AD25" s="47">
        <v>3277</v>
      </c>
      <c r="AE25" s="2"/>
      <c r="AF25" s="9" t="s">
        <v>216</v>
      </c>
      <c r="AG25" s="2"/>
      <c r="AH25" s="2" t="s">
        <v>693</v>
      </c>
    </row>
    <row r="26" spans="1:34" x14ac:dyDescent="0.25">
      <c r="A26" s="13">
        <v>15</v>
      </c>
      <c r="B26" s="2" t="s">
        <v>422</v>
      </c>
      <c r="C26" s="2" t="s">
        <v>89</v>
      </c>
      <c r="D26" s="2" t="s">
        <v>95</v>
      </c>
      <c r="E26" s="2" t="s">
        <v>56</v>
      </c>
      <c r="F26" s="2"/>
      <c r="G26" s="20" t="s">
        <v>776</v>
      </c>
      <c r="H26" s="20" t="s">
        <v>271</v>
      </c>
      <c r="I26" s="2"/>
      <c r="J26" s="2"/>
      <c r="K26" s="15">
        <v>43449</v>
      </c>
      <c r="L26" s="29">
        <v>80</v>
      </c>
      <c r="M26" s="2" t="s">
        <v>160</v>
      </c>
      <c r="N26" s="3">
        <v>34400</v>
      </c>
      <c r="O26" s="3">
        <v>18988.5</v>
      </c>
      <c r="P26" s="3">
        <f>N26+O26</f>
        <v>53388.5</v>
      </c>
      <c r="Q26" s="3"/>
      <c r="R26" s="2"/>
      <c r="S26" s="2">
        <f>VLOOKUP(B26,Overall_Rank,2,)</f>
        <v>34</v>
      </c>
      <c r="T26" s="2">
        <f>VLOOKUP(B26,Rank_Data_All,3,FALSE)</f>
        <v>169</v>
      </c>
      <c r="U26" s="2">
        <f>VLOOKUP(B26,Rank_Data_All,5,FALSE)</f>
        <v>75</v>
      </c>
      <c r="V26" s="2">
        <v>0.1371</v>
      </c>
      <c r="W26" s="2">
        <v>38.700000000000003</v>
      </c>
      <c r="X26" s="2">
        <f>VLOOKUP(B26,Rank_Data_All,37,FALSE)</f>
        <v>49.58</v>
      </c>
      <c r="Y26" s="2">
        <f>VLOOKUP(B26,Rank_Data_All,9,FALSE)</f>
        <v>61.1</v>
      </c>
      <c r="Z26" s="2"/>
      <c r="AA26" s="47">
        <v>34639</v>
      </c>
      <c r="AB26" s="47">
        <v>9420</v>
      </c>
      <c r="AC26" s="46">
        <v>21</v>
      </c>
      <c r="AD26" s="47">
        <v>1979</v>
      </c>
      <c r="AE26" s="2"/>
      <c r="AF26" s="9" t="s">
        <v>218</v>
      </c>
      <c r="AG26" s="2"/>
      <c r="AH26" s="2"/>
    </row>
    <row r="27" spans="1:34" x14ac:dyDescent="0.25">
      <c r="A27" s="13">
        <v>19</v>
      </c>
      <c r="B27" s="43" t="s">
        <v>27</v>
      </c>
      <c r="C27" s="2" t="s">
        <v>92</v>
      </c>
      <c r="D27" s="2" t="s">
        <v>74</v>
      </c>
      <c r="E27" s="2" t="s">
        <v>56</v>
      </c>
      <c r="F27" s="2"/>
      <c r="G27" s="20" t="s">
        <v>776</v>
      </c>
      <c r="H27" s="20"/>
      <c r="I27" s="2"/>
      <c r="J27" s="88">
        <v>43469</v>
      </c>
      <c r="K27" s="89">
        <v>43560</v>
      </c>
      <c r="L27" s="30">
        <v>90</v>
      </c>
      <c r="M27" s="2" t="s">
        <v>160</v>
      </c>
      <c r="N27" s="3">
        <v>59245</v>
      </c>
      <c r="O27" s="3">
        <v>18557</v>
      </c>
      <c r="P27" s="3">
        <f>N27+O27</f>
        <v>77802</v>
      </c>
      <c r="Q27" s="3"/>
      <c r="R27" s="2"/>
      <c r="S27" s="2">
        <f>VLOOKUP(B27,Overall_Rank,2,)</f>
        <v>36</v>
      </c>
      <c r="T27" s="2">
        <f>VLOOKUP(B27,Rank_Data_All,3,FALSE)</f>
        <v>9</v>
      </c>
      <c r="U27" s="2">
        <f>VLOOKUP(B27,Rank_Data_All,5,FALSE)</f>
        <v>75</v>
      </c>
      <c r="V27" s="2">
        <v>0.31430000000000002</v>
      </c>
      <c r="W27" s="2">
        <v>8.4</v>
      </c>
      <c r="X27" s="2">
        <f>VLOOKUP(B27,Rank_Data_All,37,FALSE)</f>
        <v>43.83</v>
      </c>
      <c r="Y27" s="2">
        <f>VLOOKUP(B27,Rank_Data_All,9,FALSE)</f>
        <v>77.5</v>
      </c>
      <c r="Z27" s="2"/>
      <c r="AA27" s="47">
        <v>13924</v>
      </c>
      <c r="AB27" s="47">
        <v>3676</v>
      </c>
      <c r="AC27" s="46">
        <v>76</v>
      </c>
      <c r="AD27" s="47">
        <v>2509</v>
      </c>
      <c r="AE27" s="2"/>
      <c r="AF27" s="9" t="s">
        <v>207</v>
      </c>
      <c r="AG27" s="2"/>
      <c r="AH27" s="2"/>
    </row>
    <row r="28" spans="1:34" x14ac:dyDescent="0.25">
      <c r="A28" s="13">
        <v>8</v>
      </c>
      <c r="B28" s="43" t="s">
        <v>18</v>
      </c>
      <c r="C28" s="2" t="s">
        <v>73</v>
      </c>
      <c r="D28" s="2" t="s">
        <v>74</v>
      </c>
      <c r="E28" s="2" t="s">
        <v>56</v>
      </c>
      <c r="F28" s="2">
        <v>60</v>
      </c>
      <c r="G28" s="20" t="s">
        <v>776</v>
      </c>
      <c r="H28" s="20" t="s">
        <v>265</v>
      </c>
      <c r="I28" s="2"/>
      <c r="J28" s="2"/>
      <c r="K28" s="23" t="s">
        <v>297</v>
      </c>
      <c r="L28" s="29">
        <v>90</v>
      </c>
      <c r="M28" s="2" t="s">
        <v>160</v>
      </c>
      <c r="N28" s="3">
        <v>54559</v>
      </c>
      <c r="O28" s="3">
        <v>19284</v>
      </c>
      <c r="P28" s="3">
        <f>N28+O28</f>
        <v>73843</v>
      </c>
      <c r="Q28" s="3"/>
      <c r="R28" s="2"/>
      <c r="S28" s="2">
        <f>VLOOKUP(B28,Overall_Rank,2,)</f>
        <v>37</v>
      </c>
      <c r="T28" s="2">
        <f>VLOOKUP(B28,Rank_Data_All,3,FALSE)</f>
        <v>34</v>
      </c>
      <c r="U28" s="2">
        <f>VLOOKUP(B28,Rank_Data_All,5,FALSE)</f>
        <v>125</v>
      </c>
      <c r="V28" s="2">
        <v>0.33550000000000002</v>
      </c>
      <c r="W28" s="2">
        <v>13</v>
      </c>
      <c r="X28" s="2">
        <f>VLOOKUP(B28,Rank_Data_All,37,FALSE)</f>
        <v>44.18</v>
      </c>
      <c r="Y28" s="2">
        <f>VLOOKUP(B28,Rank_Data_All,9,FALSE)</f>
        <v>76.599999999999994</v>
      </c>
      <c r="Z28" s="2"/>
      <c r="AA28" s="47">
        <v>18924</v>
      </c>
      <c r="AB28" s="47">
        <v>3566</v>
      </c>
      <c r="AC28" s="46">
        <v>78</v>
      </c>
      <c r="AD28" s="47">
        <v>4525</v>
      </c>
      <c r="AE28" s="2"/>
      <c r="AF28" s="9" t="s">
        <v>215</v>
      </c>
      <c r="AG28" s="2"/>
      <c r="AH28" s="2"/>
    </row>
    <row r="29" spans="1:34" x14ac:dyDescent="0.25">
      <c r="A29" s="13">
        <v>10</v>
      </c>
      <c r="B29" s="2" t="s">
        <v>402</v>
      </c>
      <c r="C29" s="2" t="s">
        <v>66</v>
      </c>
      <c r="D29" s="2" t="s">
        <v>58</v>
      </c>
      <c r="E29" s="2" t="s">
        <v>56</v>
      </c>
      <c r="F29" s="2"/>
      <c r="G29" s="20" t="s">
        <v>776</v>
      </c>
      <c r="H29" s="20" t="s">
        <v>267</v>
      </c>
      <c r="I29" s="2"/>
      <c r="J29" s="2"/>
      <c r="K29" s="15">
        <v>43449</v>
      </c>
      <c r="L29" s="29">
        <v>80</v>
      </c>
      <c r="M29" s="2" t="s">
        <v>160</v>
      </c>
      <c r="N29" s="3">
        <v>37022</v>
      </c>
      <c r="O29" s="3">
        <v>11178</v>
      </c>
      <c r="P29" s="3">
        <f>N29+O29</f>
        <v>48200</v>
      </c>
      <c r="Q29" s="3"/>
      <c r="R29" s="2"/>
      <c r="S29" s="2">
        <f>VLOOKUP(B29,Overall_Rank,2,)</f>
        <v>38</v>
      </c>
      <c r="T29" s="2">
        <f>VLOOKUP(B29,Rank_Data_All,3,FALSE)</f>
        <v>95</v>
      </c>
      <c r="U29" s="2">
        <f>VLOOKUP(B29,Rank_Data_All,5,FALSE)</f>
        <v>75</v>
      </c>
      <c r="V29" s="2">
        <v>0.39879999999999999</v>
      </c>
      <c r="W29" s="2">
        <v>51.3</v>
      </c>
      <c r="X29" s="2">
        <f>VLOOKUP(B29,Rank_Data_All,37,FALSE)</f>
        <v>49.49</v>
      </c>
      <c r="Y29" s="2">
        <f>VLOOKUP(B29,Rank_Data_All,9,FALSE)</f>
        <v>69.2</v>
      </c>
      <c r="Z29" s="2"/>
      <c r="AA29" s="47">
        <v>45218</v>
      </c>
      <c r="AB29" s="47">
        <v>7003</v>
      </c>
      <c r="AC29" s="46">
        <v>34</v>
      </c>
      <c r="AD29" s="47">
        <v>3456</v>
      </c>
      <c r="AE29" s="2"/>
      <c r="AF29" s="9" t="s">
        <v>206</v>
      </c>
      <c r="AG29" s="2"/>
      <c r="AH29" s="2"/>
    </row>
    <row r="30" spans="1:34" x14ac:dyDescent="0.25">
      <c r="A30" s="90">
        <v>28</v>
      </c>
      <c r="B30" s="43" t="s">
        <v>110</v>
      </c>
      <c r="C30" s="2" t="s">
        <v>140</v>
      </c>
      <c r="D30" s="2" t="s">
        <v>139</v>
      </c>
      <c r="E30" s="2" t="s">
        <v>56</v>
      </c>
      <c r="F30" s="2">
        <v>60</v>
      </c>
      <c r="G30" s="20" t="s">
        <v>776</v>
      </c>
      <c r="H30" s="20" t="s">
        <v>771</v>
      </c>
      <c r="I30" s="2"/>
      <c r="J30" s="2"/>
      <c r="K30" s="15">
        <v>43539</v>
      </c>
      <c r="L30" s="29">
        <v>105</v>
      </c>
      <c r="M30" s="2" t="s">
        <v>160</v>
      </c>
      <c r="N30" s="3">
        <v>33699</v>
      </c>
      <c r="O30" s="3">
        <v>21245</v>
      </c>
      <c r="P30" s="3">
        <f>N30+O30</f>
        <v>54944</v>
      </c>
      <c r="Q30" s="3"/>
      <c r="R30" s="2"/>
      <c r="S30" s="2">
        <f>VLOOKUP(B30,Overall_Rank,2,)</f>
        <v>39</v>
      </c>
      <c r="T30" s="2">
        <f>VLOOKUP(B30,Rank_Data_All,3,FALSE)</f>
        <v>56</v>
      </c>
      <c r="U30" s="2">
        <f>VLOOKUP(B30,Rank_Data_All,5,FALSE)</f>
        <v>125</v>
      </c>
      <c r="V30" s="2">
        <v>2.5700000000000001E-2</v>
      </c>
      <c r="W30" s="2">
        <v>9.5</v>
      </c>
      <c r="X30" s="2">
        <f>VLOOKUP(B30,Rank_Data_All,37,FALSE)</f>
        <v>44.16</v>
      </c>
      <c r="Y30" s="2">
        <f>VLOOKUP(B30,Rank_Data_All,9,FALSE)</f>
        <v>66.7</v>
      </c>
      <c r="Z30" s="2"/>
      <c r="AA30" s="47">
        <v>9564</v>
      </c>
      <c r="AB30" s="47">
        <v>1880</v>
      </c>
      <c r="AC30" s="46">
        <v>51</v>
      </c>
      <c r="AD30" s="47">
        <v>1314</v>
      </c>
      <c r="AE30" s="2"/>
      <c r="AF30" s="9" t="s">
        <v>215</v>
      </c>
      <c r="AG30" s="2"/>
      <c r="AH30" s="2"/>
    </row>
    <row r="31" spans="1:34" x14ac:dyDescent="0.25">
      <c r="A31" s="90">
        <v>29</v>
      </c>
      <c r="B31" s="2" t="s">
        <v>427</v>
      </c>
      <c r="C31" s="2" t="s">
        <v>131</v>
      </c>
      <c r="D31" s="2" t="s">
        <v>95</v>
      </c>
      <c r="E31" s="2" t="s">
        <v>56</v>
      </c>
      <c r="F31" s="2">
        <v>60</v>
      </c>
      <c r="G31" s="20" t="s">
        <v>776</v>
      </c>
      <c r="H31" s="20" t="s">
        <v>271</v>
      </c>
      <c r="I31" s="2"/>
      <c r="J31" s="2"/>
      <c r="K31" s="15">
        <v>43480</v>
      </c>
      <c r="L31" s="29">
        <v>80</v>
      </c>
      <c r="M31" s="2" t="s">
        <v>160</v>
      </c>
      <c r="N31" s="3">
        <v>29084</v>
      </c>
      <c r="O31" s="3">
        <v>20822</v>
      </c>
      <c r="P31" s="3">
        <f>N31+O31</f>
        <v>49906</v>
      </c>
      <c r="Q31" s="3"/>
      <c r="R31" s="2"/>
      <c r="S31" s="2">
        <f>VLOOKUP(B31,Overall_Rank,2,)</f>
        <v>40</v>
      </c>
      <c r="T31" s="2">
        <f>VLOOKUP(B31,Rank_Data_All,3,FALSE)</f>
        <v>100</v>
      </c>
      <c r="U31" s="2">
        <f>VLOOKUP(B31,Rank_Data_All,5,FALSE)</f>
        <v>125</v>
      </c>
      <c r="V31" s="2">
        <v>2.5100000000000001E-2</v>
      </c>
      <c r="W31" s="2">
        <v>38</v>
      </c>
      <c r="X31" s="2">
        <f>VLOOKUP(B31,Rank_Data_All,37,FALSE)</f>
        <v>44.53</v>
      </c>
      <c r="Y31" s="2">
        <f>VLOOKUP(B31,Rank_Data_All,9,FALSE)</f>
        <v>61.7</v>
      </c>
      <c r="Z31" s="2"/>
      <c r="AA31" s="47">
        <v>35430</v>
      </c>
      <c r="AB31" s="47">
        <v>7236</v>
      </c>
      <c r="AC31" s="46">
        <v>23</v>
      </c>
      <c r="AD31" s="47">
        <v>2999</v>
      </c>
      <c r="AE31" s="2" t="s">
        <v>329</v>
      </c>
      <c r="AF31" s="9" t="s">
        <v>214</v>
      </c>
      <c r="AG31" s="2"/>
      <c r="AH31" s="2"/>
    </row>
    <row r="32" spans="1:34" x14ac:dyDescent="0.25">
      <c r="A32" s="90">
        <v>30</v>
      </c>
      <c r="B32" s="11" t="s">
        <v>112</v>
      </c>
      <c r="C32" s="2" t="s">
        <v>135</v>
      </c>
      <c r="D32" s="2" t="s">
        <v>61</v>
      </c>
      <c r="E32" s="2" t="s">
        <v>56</v>
      </c>
      <c r="F32" s="2">
        <v>70</v>
      </c>
      <c r="G32" s="20" t="s">
        <v>776</v>
      </c>
      <c r="H32" s="20" t="s">
        <v>745</v>
      </c>
      <c r="I32" s="2"/>
      <c r="J32" s="2"/>
      <c r="K32" s="15">
        <v>43814</v>
      </c>
      <c r="L32" s="29">
        <v>80</v>
      </c>
      <c r="M32" s="2" t="s">
        <v>160</v>
      </c>
      <c r="N32" s="3">
        <v>28345</v>
      </c>
      <c r="O32" s="3">
        <v>14029</v>
      </c>
      <c r="P32" s="3">
        <f>N32+O32</f>
        <v>42374</v>
      </c>
      <c r="Q32" s="3"/>
      <c r="R32" s="2"/>
      <c r="S32" s="2">
        <f>VLOOKUP(B32,Overall_Rank,2,)</f>
        <v>41</v>
      </c>
      <c r="T32" s="2">
        <f>VLOOKUP(B32,Rank_Data_All,3,FALSE)</f>
        <v>259</v>
      </c>
      <c r="U32" s="2">
        <f>VLOOKUP(B32,Rank_Data_All,5,FALSE)</f>
        <v>125</v>
      </c>
      <c r="V32" s="2">
        <v>5.1999999999999998E-3</v>
      </c>
      <c r="W32" s="2">
        <v>58.3</v>
      </c>
      <c r="X32" s="2">
        <f>VLOOKUP(B32,Rank_Data_All,37,FALSE)</f>
        <v>54.83</v>
      </c>
      <c r="Y32" s="2">
        <f>VLOOKUP(B32,Rank_Data_All,9,FALSE)</f>
        <v>58</v>
      </c>
      <c r="Z32" s="2"/>
      <c r="AA32" s="47">
        <v>25268</v>
      </c>
      <c r="AB32" s="47">
        <v>2198</v>
      </c>
      <c r="AC32" s="46">
        <v>49</v>
      </c>
      <c r="AD32" s="47">
        <v>1673</v>
      </c>
      <c r="AE32" s="2" t="s">
        <v>209</v>
      </c>
      <c r="AF32" s="9" t="s">
        <v>224</v>
      </c>
      <c r="AG32" s="2"/>
      <c r="AH32" s="2"/>
    </row>
    <row r="33" spans="1:34" x14ac:dyDescent="0.25">
      <c r="A33" s="90">
        <v>31</v>
      </c>
      <c r="B33" s="2" t="s">
        <v>417</v>
      </c>
      <c r="C33" s="2" t="s">
        <v>132</v>
      </c>
      <c r="D33" s="2" t="s">
        <v>71</v>
      </c>
      <c r="E33" s="2" t="s">
        <v>56</v>
      </c>
      <c r="F33" s="2">
        <v>70</v>
      </c>
      <c r="G33" s="20" t="s">
        <v>776</v>
      </c>
      <c r="H33" s="20" t="s">
        <v>259</v>
      </c>
      <c r="I33" s="2">
        <v>1</v>
      </c>
      <c r="J33" s="15" t="s">
        <v>761</v>
      </c>
      <c r="K33" s="23">
        <v>43536</v>
      </c>
      <c r="L33" s="2">
        <v>90</v>
      </c>
      <c r="M33" s="2" t="s">
        <v>160</v>
      </c>
      <c r="N33" s="3">
        <v>35273</v>
      </c>
      <c r="O33" s="3">
        <v>15306</v>
      </c>
      <c r="P33" s="3">
        <f>N33+O33</f>
        <v>50579</v>
      </c>
      <c r="Q33" s="3"/>
      <c r="R33" s="2"/>
      <c r="S33" s="2">
        <f>VLOOKUP(B33,Overall_Rank,2,)</f>
        <v>43</v>
      </c>
      <c r="T33" s="2">
        <f>VLOOKUP(B33,Rank_Data_All,3,FALSE)</f>
        <v>83</v>
      </c>
      <c r="U33" s="2">
        <f>VLOOKUP(B33,Rank_Data_All,5,FALSE)</f>
        <v>125</v>
      </c>
      <c r="V33" s="2">
        <v>9.5299999999999996E-2</v>
      </c>
      <c r="W33" s="2">
        <v>30.5</v>
      </c>
      <c r="X33" s="2">
        <f>VLOOKUP(B33,Rank_Data_All,37,FALSE)</f>
        <v>47.91</v>
      </c>
      <c r="Y33" s="2">
        <f>VLOOKUP(B33,Rank_Data_All,9,FALSE)</f>
        <v>61.3</v>
      </c>
      <c r="Z33" s="2"/>
      <c r="AA33" s="47">
        <v>26211</v>
      </c>
      <c r="AB33" s="47">
        <v>1980</v>
      </c>
      <c r="AC33" s="46">
        <v>54</v>
      </c>
      <c r="AD33" s="47">
        <v>4733</v>
      </c>
      <c r="AE33" s="2" t="s">
        <v>759</v>
      </c>
      <c r="AF33" s="9" t="s">
        <v>205</v>
      </c>
      <c r="AG33" s="2"/>
      <c r="AH33" s="2"/>
    </row>
    <row r="34" spans="1:34" x14ac:dyDescent="0.25">
      <c r="A34" s="13">
        <v>18</v>
      </c>
      <c r="B34" s="2" t="s">
        <v>420</v>
      </c>
      <c r="C34" s="2" t="s">
        <v>91</v>
      </c>
      <c r="D34" s="2" t="s">
        <v>95</v>
      </c>
      <c r="E34" s="2" t="s">
        <v>56</v>
      </c>
      <c r="F34" s="2"/>
      <c r="G34" s="20" t="s">
        <v>776</v>
      </c>
      <c r="H34" s="20"/>
      <c r="I34" s="2"/>
      <c r="J34" s="2"/>
      <c r="K34" s="15">
        <v>43449</v>
      </c>
      <c r="L34" s="29">
        <v>80</v>
      </c>
      <c r="M34" s="2" t="s">
        <v>160</v>
      </c>
      <c r="N34" s="3">
        <v>28995</v>
      </c>
      <c r="O34" s="3">
        <v>21403</v>
      </c>
      <c r="P34" s="3">
        <f>N34+O34</f>
        <v>50398</v>
      </c>
      <c r="Q34" s="3"/>
      <c r="R34" s="2"/>
      <c r="S34" s="2">
        <f>VLOOKUP(B34,Overall_Rank,2,)</f>
        <v>44</v>
      </c>
      <c r="T34" s="2">
        <f>VLOOKUP(B34,Rank_Data_All,3,FALSE)</f>
        <v>132</v>
      </c>
      <c r="U34" s="2">
        <f>VLOOKUP(B34,Rank_Data_All,5,FALSE)</f>
        <v>175</v>
      </c>
      <c r="V34" s="2">
        <v>1.5900000000000001E-2</v>
      </c>
      <c r="W34" s="2">
        <v>32.6</v>
      </c>
      <c r="X34" s="2">
        <f>VLOOKUP(B34,Rank_Data_All,37,FALSE)</f>
        <v>46.67</v>
      </c>
      <c r="Y34" s="2">
        <f>VLOOKUP(B34,Rank_Data_All,9,FALSE)</f>
        <v>49.5</v>
      </c>
      <c r="Z34" s="2"/>
      <c r="AA34" s="47">
        <v>23983</v>
      </c>
      <c r="AB34" s="47">
        <v>2492</v>
      </c>
      <c r="AC34" s="46">
        <v>28</v>
      </c>
      <c r="AD34" s="47">
        <v>1472</v>
      </c>
      <c r="AE34" s="2"/>
      <c r="AF34" s="9" t="s">
        <v>224</v>
      </c>
      <c r="AG34" s="2"/>
      <c r="AH34" s="2"/>
    </row>
    <row r="35" spans="1:34" x14ac:dyDescent="0.25">
      <c r="A35" s="13">
        <v>13</v>
      </c>
      <c r="B35" s="57" t="s">
        <v>21</v>
      </c>
      <c r="C35" s="2" t="s">
        <v>86</v>
      </c>
      <c r="D35" s="2" t="s">
        <v>66</v>
      </c>
      <c r="E35" s="2" t="s">
        <v>85</v>
      </c>
      <c r="F35" s="2"/>
      <c r="G35" s="20" t="s">
        <v>776</v>
      </c>
      <c r="H35" s="21" t="s">
        <v>269</v>
      </c>
      <c r="I35" s="2"/>
      <c r="J35" s="2"/>
      <c r="K35" s="15">
        <v>43191</v>
      </c>
      <c r="L35" s="29">
        <v>90</v>
      </c>
      <c r="M35" s="2" t="s">
        <v>169</v>
      </c>
      <c r="N35" s="3">
        <v>15575</v>
      </c>
      <c r="O35" s="3">
        <v>10824</v>
      </c>
      <c r="P35" s="3">
        <f>N35+O35</f>
        <v>26399</v>
      </c>
      <c r="Q35" s="3"/>
      <c r="R35" s="2"/>
      <c r="S35" s="2">
        <f>VLOOKUP(B35,Overall_Rank,2,)</f>
        <v>45</v>
      </c>
      <c r="T35" s="2">
        <f>VLOOKUP(B35,Rank_Data_All,3,FALSE)</f>
        <v>52</v>
      </c>
      <c r="U35" s="2">
        <f>VLOOKUP(B35,Rank_Data_All,5,FALSE)</f>
        <v>75</v>
      </c>
      <c r="V35" s="2">
        <v>0.13239999999999999</v>
      </c>
      <c r="W35" s="2" t="s">
        <v>66</v>
      </c>
      <c r="X35" s="2">
        <f>VLOOKUP(B35,Rank_Data_All,37,FALSE)</f>
        <v>47.1</v>
      </c>
      <c r="Y35" s="2">
        <f>VLOOKUP(B35,Rank_Data_All,9,FALSE)</f>
        <v>72.3</v>
      </c>
      <c r="Z35" s="2"/>
      <c r="AA35" s="47">
        <v>17703</v>
      </c>
      <c r="AB35" s="47">
        <v>4967</v>
      </c>
      <c r="AC35" s="46">
        <v>86</v>
      </c>
      <c r="AD35" s="47">
        <v>1771</v>
      </c>
      <c r="AE35" s="2"/>
      <c r="AF35" s="9" t="s">
        <v>221</v>
      </c>
      <c r="AG35" s="2"/>
      <c r="AH35" s="2"/>
    </row>
    <row r="36" spans="1:34" x14ac:dyDescent="0.25">
      <c r="A36" s="13">
        <v>9</v>
      </c>
      <c r="B36" s="43" t="s">
        <v>408</v>
      </c>
      <c r="C36" s="2" t="s">
        <v>77</v>
      </c>
      <c r="D36" s="2" t="s">
        <v>76</v>
      </c>
      <c r="E36" s="2" t="s">
        <v>56</v>
      </c>
      <c r="F36" s="2"/>
      <c r="G36" s="20" t="s">
        <v>777</v>
      </c>
      <c r="H36" s="20" t="s">
        <v>266</v>
      </c>
      <c r="I36" s="2"/>
      <c r="J36" s="2"/>
      <c r="K36" s="15">
        <v>43800</v>
      </c>
      <c r="L36" s="29">
        <v>92</v>
      </c>
      <c r="M36" s="2" t="s">
        <v>160</v>
      </c>
      <c r="N36" s="3">
        <v>33866</v>
      </c>
      <c r="O36" s="3">
        <v>18695</v>
      </c>
      <c r="P36" s="3">
        <f>N36+O36</f>
        <v>52561</v>
      </c>
      <c r="Q36" s="3"/>
      <c r="R36" s="2"/>
      <c r="S36" s="2">
        <f>VLOOKUP(B36,Overall_Rank,2,)</f>
        <v>46</v>
      </c>
      <c r="T36" s="2">
        <f>VLOOKUP(B36,Rank_Data_All,3,FALSE)</f>
        <v>89</v>
      </c>
      <c r="U36" s="2">
        <f>VLOOKUP(B36,Rank_Data_All,5,FALSE)</f>
        <v>175</v>
      </c>
      <c r="V36" s="2">
        <v>7.2599999999999998E-2</v>
      </c>
      <c r="W36" s="2">
        <v>49.4</v>
      </c>
      <c r="X36" s="2">
        <f>VLOOKUP(B36,Rank_Data_All,37,FALSE)</f>
        <v>46.21</v>
      </c>
      <c r="Y36" s="2">
        <f>VLOOKUP(B36,Rank_Data_All,9,FALSE)</f>
        <v>65.099999999999994</v>
      </c>
      <c r="Z36" s="2"/>
      <c r="AA36" s="47">
        <v>43603</v>
      </c>
      <c r="AB36" s="47">
        <v>6841</v>
      </c>
      <c r="AC36" s="46">
        <v>36</v>
      </c>
      <c r="AD36" s="47">
        <v>6023</v>
      </c>
      <c r="AE36" s="2"/>
      <c r="AF36" s="9" t="s">
        <v>217</v>
      </c>
      <c r="AG36" s="2"/>
      <c r="AH36" s="2"/>
    </row>
    <row r="37" spans="1:34" x14ac:dyDescent="0.25">
      <c r="A37" s="90">
        <v>34</v>
      </c>
      <c r="B37" s="2" t="s">
        <v>440</v>
      </c>
      <c r="C37" s="2" t="s">
        <v>92</v>
      </c>
      <c r="D37" s="2" t="s">
        <v>74</v>
      </c>
      <c r="E37" s="2" t="s">
        <v>56</v>
      </c>
      <c r="F37" s="2">
        <v>70</v>
      </c>
      <c r="G37" s="20" t="s">
        <v>777</v>
      </c>
      <c r="H37" s="20" t="s">
        <v>266</v>
      </c>
      <c r="I37" s="2">
        <v>1</v>
      </c>
      <c r="J37" s="15">
        <v>43480</v>
      </c>
      <c r="K37" s="15">
        <v>43497</v>
      </c>
      <c r="L37" s="29">
        <v>80</v>
      </c>
      <c r="M37" s="2" t="s">
        <v>160</v>
      </c>
      <c r="N37" s="3">
        <v>28524</v>
      </c>
      <c r="O37" s="3">
        <v>16169</v>
      </c>
      <c r="P37" s="3">
        <f>N37+O37</f>
        <v>44693</v>
      </c>
      <c r="Q37" s="3"/>
      <c r="R37" s="2"/>
      <c r="S37" s="2">
        <f>VLOOKUP(B37,Overall_Rank,2,)</f>
        <v>47</v>
      </c>
      <c r="T37" s="2">
        <f>VLOOKUP(B37,Rank_Data_All,3,FALSE)</f>
        <v>214</v>
      </c>
      <c r="U37" s="2">
        <f>VLOOKUP(B37,Rank_Data_All,5,FALSE)</f>
        <v>175</v>
      </c>
      <c r="V37" s="2">
        <v>0.31369999999999998</v>
      </c>
      <c r="W37" s="2">
        <v>76.599999999999994</v>
      </c>
      <c r="X37" s="2">
        <f>VLOOKUP(B37,Rank_Data_All,37,FALSE)</f>
        <v>44.07</v>
      </c>
      <c r="Y37" s="2">
        <f>VLOOKUP(B37,Rank_Data_All,9,FALSE)</f>
        <v>61.8</v>
      </c>
      <c r="Z37" s="2"/>
      <c r="AA37" s="47">
        <v>25921</v>
      </c>
      <c r="AB37" s="47">
        <v>2856</v>
      </c>
      <c r="AC37" s="46">
        <v>84</v>
      </c>
      <c r="AD37" s="47">
        <v>2598</v>
      </c>
      <c r="AE37" s="2" t="s">
        <v>333</v>
      </c>
      <c r="AF37" s="9" t="s">
        <v>221</v>
      </c>
      <c r="AG37" s="2"/>
      <c r="AH37" s="2"/>
    </row>
    <row r="38" spans="1:34" x14ac:dyDescent="0.25">
      <c r="A38" s="90">
        <v>33</v>
      </c>
      <c r="B38" s="43" t="s">
        <v>115</v>
      </c>
      <c r="C38" s="2" t="s">
        <v>143</v>
      </c>
      <c r="D38" s="2" t="s">
        <v>83</v>
      </c>
      <c r="E38" s="2" t="s">
        <v>56</v>
      </c>
      <c r="F38" s="2">
        <v>50</v>
      </c>
      <c r="G38" s="20" t="s">
        <v>777</v>
      </c>
      <c r="H38" s="20" t="s">
        <v>262</v>
      </c>
      <c r="I38" s="2"/>
      <c r="J38" s="26"/>
      <c r="K38" s="89">
        <v>43495</v>
      </c>
      <c r="L38" s="29">
        <v>90</v>
      </c>
      <c r="M38" s="2" t="s">
        <v>160</v>
      </c>
      <c r="N38" s="3">
        <v>40635</v>
      </c>
      <c r="O38" s="3">
        <v>16919</v>
      </c>
      <c r="P38" s="3">
        <f>N38+O38</f>
        <v>57554</v>
      </c>
      <c r="Q38" s="3"/>
      <c r="R38" s="2"/>
      <c r="S38" s="2">
        <f>VLOOKUP(B38,Overall_Rank,2,)</f>
        <v>48</v>
      </c>
      <c r="T38" s="2">
        <f>VLOOKUP(B38,Rank_Data_All,3,FALSE)</f>
        <v>87</v>
      </c>
      <c r="U38" s="2">
        <f>VLOOKUP(B38,Rank_Data_All,5,FALSE)</f>
        <v>175</v>
      </c>
      <c r="V38" s="2">
        <v>0.12280000000000001</v>
      </c>
      <c r="W38" s="2">
        <v>16</v>
      </c>
      <c r="X38" s="2">
        <f>VLOOKUP(B38,Rank_Data_All,37,FALSE)</f>
        <v>45.18</v>
      </c>
      <c r="Y38" s="2">
        <f>VLOOKUP(B38,Rank_Data_All,9,FALSE)</f>
        <v>58</v>
      </c>
      <c r="Z38" s="2"/>
      <c r="AA38" s="47">
        <v>6752</v>
      </c>
      <c r="AB38" s="47">
        <v>1854</v>
      </c>
      <c r="AC38" s="46">
        <v>67</v>
      </c>
      <c r="AD38" s="48">
        <v>976</v>
      </c>
      <c r="AE38" s="2"/>
      <c r="AF38" s="9" t="s">
        <v>207</v>
      </c>
      <c r="AG38" s="2"/>
      <c r="AH38" s="2" t="s">
        <v>332</v>
      </c>
    </row>
    <row r="39" spans="1:34" x14ac:dyDescent="0.25">
      <c r="A39" s="90">
        <v>45</v>
      </c>
      <c r="B39" s="39" t="s">
        <v>397</v>
      </c>
      <c r="C39" s="2" t="s">
        <v>213</v>
      </c>
      <c r="D39" s="2" t="s">
        <v>212</v>
      </c>
      <c r="E39" s="2" t="s">
        <v>56</v>
      </c>
      <c r="F39" s="2">
        <v>20</v>
      </c>
      <c r="G39" s="20" t="s">
        <v>777</v>
      </c>
      <c r="H39" s="20" t="s">
        <v>356</v>
      </c>
      <c r="I39" s="11"/>
      <c r="J39" s="2"/>
      <c r="K39" s="15">
        <v>43525</v>
      </c>
      <c r="L39" s="29">
        <v>79</v>
      </c>
      <c r="M39" s="11" t="s">
        <v>160</v>
      </c>
      <c r="N39" s="3">
        <v>27530</v>
      </c>
      <c r="O39" s="3">
        <f>P39-N39</f>
        <v>18290</v>
      </c>
      <c r="P39" s="3">
        <v>45820</v>
      </c>
      <c r="Q39" s="2"/>
      <c r="R39" s="2"/>
      <c r="S39" s="2">
        <f>VLOOKUP(B39,Overall_Rank,2,)</f>
        <v>49</v>
      </c>
      <c r="T39" s="2">
        <f>VLOOKUP(B39,Rank_Data_All,3,FALSE)</f>
        <v>156</v>
      </c>
      <c r="U39" s="2">
        <f>VLOOKUP(B39,Rank_Data_All,5,FALSE)</f>
        <v>175</v>
      </c>
      <c r="V39" s="2">
        <v>0.14480000000000001</v>
      </c>
      <c r="W39" s="2">
        <v>44.6</v>
      </c>
      <c r="X39" s="2">
        <f>VLOOKUP(B39,Rank_Data_All,37,FALSE)</f>
        <v>49.49</v>
      </c>
      <c r="Y39" s="2">
        <f>VLOOKUP(B39,Rank_Data_All,9,FALSE)</f>
        <v>58.1</v>
      </c>
      <c r="Z39" s="12">
        <v>110616</v>
      </c>
      <c r="AA39" s="47">
        <v>56758</v>
      </c>
      <c r="AB39" s="45">
        <v>6002</v>
      </c>
      <c r="AC39" s="46">
        <v>43</v>
      </c>
      <c r="AD39" s="45">
        <v>4930</v>
      </c>
      <c r="AE39" s="2" t="s">
        <v>680</v>
      </c>
      <c r="AF39" s="9" t="s">
        <v>224</v>
      </c>
      <c r="AG39" s="2"/>
      <c r="AH39" s="2" t="s">
        <v>692</v>
      </c>
    </row>
    <row r="40" spans="1:34" x14ac:dyDescent="0.25">
      <c r="A40" s="13">
        <v>1</v>
      </c>
      <c r="B40" s="11" t="s">
        <v>242</v>
      </c>
      <c r="C40" s="2" t="s">
        <v>55</v>
      </c>
      <c r="D40" s="2" t="s">
        <v>54</v>
      </c>
      <c r="E40" s="2" t="s">
        <v>56</v>
      </c>
      <c r="F40" s="2">
        <v>60</v>
      </c>
      <c r="G40" s="20" t="s">
        <v>777</v>
      </c>
      <c r="H40" s="20" t="s">
        <v>259</v>
      </c>
      <c r="I40" s="2"/>
      <c r="J40" s="87" t="s">
        <v>291</v>
      </c>
      <c r="K40" s="87"/>
      <c r="L40" s="29"/>
      <c r="M40" s="2" t="s">
        <v>160</v>
      </c>
      <c r="N40" s="3">
        <v>25046</v>
      </c>
      <c r="O40" s="3">
        <v>21800</v>
      </c>
      <c r="P40" s="3">
        <f>N40+O40</f>
        <v>46846</v>
      </c>
      <c r="Q40" s="3"/>
      <c r="R40" s="2"/>
      <c r="S40" s="2">
        <f>VLOOKUP(B40,Overall_Rank,2,)</f>
        <v>50</v>
      </c>
      <c r="T40" s="2">
        <f>VLOOKUP(B40,Rank_Data_All,3,FALSE)</f>
        <v>212</v>
      </c>
      <c r="U40" s="2">
        <f>VLOOKUP(B40,Rank_Data_All,5,FALSE)</f>
        <v>175</v>
      </c>
      <c r="V40" s="2">
        <v>0.13039999999999999</v>
      </c>
      <c r="W40" s="2">
        <v>82.9</v>
      </c>
      <c r="X40" s="2">
        <f>VLOOKUP(B40,Rank_Data_All,37,FALSE)</f>
        <v>47.51</v>
      </c>
      <c r="Y40" s="2">
        <f>VLOOKUP(B40,Rank_Data_All,9,FALSE)</f>
        <v>65.599999999999994</v>
      </c>
      <c r="Z40" s="2"/>
      <c r="AA40" s="47">
        <v>47503</v>
      </c>
      <c r="AB40" s="47">
        <v>9722</v>
      </c>
      <c r="AC40" s="46">
        <v>35</v>
      </c>
      <c r="AD40" s="47">
        <v>2578</v>
      </c>
      <c r="AE40" s="2" t="s">
        <v>258</v>
      </c>
      <c r="AF40" s="9" t="s">
        <v>204</v>
      </c>
      <c r="AG40" s="2"/>
      <c r="AH40" s="2"/>
    </row>
    <row r="41" spans="1:34" x14ac:dyDescent="0.25">
      <c r="A41" s="13">
        <v>12</v>
      </c>
      <c r="B41" s="11" t="s">
        <v>20</v>
      </c>
      <c r="C41" s="2" t="s">
        <v>84</v>
      </c>
      <c r="D41" s="2" t="s">
        <v>83</v>
      </c>
      <c r="E41" s="2" t="s">
        <v>56</v>
      </c>
      <c r="F41" s="2"/>
      <c r="G41" s="20" t="s">
        <v>777</v>
      </c>
      <c r="H41" s="20"/>
      <c r="I41" s="2"/>
      <c r="J41" s="2"/>
      <c r="K41" s="15">
        <v>43115</v>
      </c>
      <c r="L41" s="29">
        <v>100</v>
      </c>
      <c r="M41" s="2" t="s">
        <v>160</v>
      </c>
      <c r="N41" s="3">
        <v>20111</v>
      </c>
      <c r="O41" s="3">
        <v>18359</v>
      </c>
      <c r="P41" s="3">
        <f>N41+O41</f>
        <v>38470</v>
      </c>
      <c r="Q41" s="3"/>
      <c r="R41" s="2"/>
      <c r="S41" s="2">
        <f>VLOOKUP(B41,Overall_Rank,2,)</f>
        <v>51</v>
      </c>
      <c r="T41" s="2">
        <f>VLOOKUP(B41,Rank_Data_All,3,FALSE)</f>
        <v>203</v>
      </c>
      <c r="U41" s="2">
        <f>VLOOKUP(B41,Rank_Data_All,5,FALSE)</f>
        <v>175</v>
      </c>
      <c r="V41" s="2">
        <v>1.5E-3</v>
      </c>
      <c r="W41" s="2">
        <v>66.599999999999994</v>
      </c>
      <c r="X41" s="2">
        <f>VLOOKUP(B41,Rank_Data_All,37,FALSE)</f>
        <v>46.93</v>
      </c>
      <c r="Y41" s="2">
        <f>VLOOKUP(B41,Rank_Data_All,9,FALSE)</f>
        <v>65.5</v>
      </c>
      <c r="Z41" s="2"/>
      <c r="AA41" s="47">
        <v>59643</v>
      </c>
      <c r="AB41" s="47">
        <v>4920</v>
      </c>
      <c r="AC41" s="46">
        <v>88</v>
      </c>
      <c r="AD41" s="47">
        <v>3653</v>
      </c>
      <c r="AE41" s="2"/>
      <c r="AF41" s="9" t="s">
        <v>220</v>
      </c>
      <c r="AG41" s="2"/>
      <c r="AH41" s="2"/>
    </row>
    <row r="42" spans="1:34" x14ac:dyDescent="0.25">
      <c r="A42" s="90">
        <v>32</v>
      </c>
      <c r="B42" s="39" t="s">
        <v>114</v>
      </c>
      <c r="C42" s="2" t="s">
        <v>142</v>
      </c>
      <c r="D42" s="2" t="s">
        <v>138</v>
      </c>
      <c r="E42" s="2" t="s">
        <v>56</v>
      </c>
      <c r="F42" s="2">
        <v>40</v>
      </c>
      <c r="G42" s="20" t="s">
        <v>777</v>
      </c>
      <c r="H42" s="20" t="s">
        <v>267</v>
      </c>
      <c r="I42" s="2">
        <v>1</v>
      </c>
      <c r="J42" s="15">
        <v>43465</v>
      </c>
      <c r="K42" s="15">
        <v>43480</v>
      </c>
      <c r="L42" s="29">
        <v>80</v>
      </c>
      <c r="M42" s="2" t="s">
        <v>160</v>
      </c>
      <c r="N42" s="3">
        <v>35633</v>
      </c>
      <c r="O42" s="3">
        <v>13766</v>
      </c>
      <c r="P42" s="3">
        <f>N42+O42</f>
        <v>49399</v>
      </c>
      <c r="Q42" s="3"/>
      <c r="R42" s="2"/>
      <c r="S42" s="2">
        <f>VLOOKUP(B42,Overall_Rank,2,)</f>
        <v>52</v>
      </c>
      <c r="T42" s="2">
        <f>VLOOKUP(B42,Rank_Data_All,3,FALSE)</f>
        <v>141</v>
      </c>
      <c r="U42" s="2">
        <f>VLOOKUP(B42,Rank_Data_All,5,FALSE)</f>
        <v>175</v>
      </c>
      <c r="V42" s="2">
        <v>1.06E-2</v>
      </c>
      <c r="W42" s="2">
        <v>66.3</v>
      </c>
      <c r="X42" s="2">
        <f>VLOOKUP(B42,Rank_Data_All,37,FALSE)</f>
        <v>44.32</v>
      </c>
      <c r="Y42" s="2">
        <f>VLOOKUP(B42,Rank_Data_All,9,FALSE)</f>
        <v>65.5</v>
      </c>
      <c r="Z42" s="2"/>
      <c r="AA42" s="47">
        <v>44794</v>
      </c>
      <c r="AB42" s="47">
        <v>7190</v>
      </c>
      <c r="AC42" s="46">
        <v>30</v>
      </c>
      <c r="AD42" s="47">
        <v>2971</v>
      </c>
      <c r="AE42" s="2" t="s">
        <v>754</v>
      </c>
      <c r="AF42" s="9" t="s">
        <v>224</v>
      </c>
      <c r="AG42" s="2"/>
      <c r="AH42" s="2" t="s">
        <v>330</v>
      </c>
    </row>
    <row r="43" spans="1:34" x14ac:dyDescent="0.25">
      <c r="A43" s="13">
        <v>7</v>
      </c>
      <c r="B43" s="39" t="s">
        <v>419</v>
      </c>
      <c r="C43" s="2" t="s">
        <v>72</v>
      </c>
      <c r="D43" s="2" t="s">
        <v>71</v>
      </c>
      <c r="E43" s="2" t="s">
        <v>56</v>
      </c>
      <c r="F43" s="2"/>
      <c r="G43" s="20" t="s">
        <v>777</v>
      </c>
      <c r="H43" s="20" t="s">
        <v>262</v>
      </c>
      <c r="I43" s="2"/>
      <c r="K43" s="15">
        <v>43449</v>
      </c>
      <c r="L43" s="29">
        <v>105</v>
      </c>
      <c r="M43" s="2" t="s">
        <v>160</v>
      </c>
      <c r="N43" s="3">
        <v>27982</v>
      </c>
      <c r="O43" s="3">
        <v>18176</v>
      </c>
      <c r="P43" s="3">
        <f>N43+O43</f>
        <v>46158</v>
      </c>
      <c r="Q43" s="3"/>
      <c r="R43" s="2"/>
      <c r="S43" s="2">
        <f>VLOOKUP(B43,Overall_Rank,2,)</f>
        <v>55</v>
      </c>
      <c r="T43" s="2">
        <f>VLOOKUP(B43,Rank_Data_All,3,FALSE)</f>
        <v>279</v>
      </c>
      <c r="U43" s="2">
        <f>VLOOKUP(B43,Rank_Data_All,5,FALSE)</f>
        <v>175</v>
      </c>
      <c r="V43" s="2">
        <v>0.14430000000000001</v>
      </c>
      <c r="W43" s="2">
        <v>50</v>
      </c>
      <c r="X43" s="2">
        <f>VLOOKUP(B43,Rank_Data_All,37,FALSE)</f>
        <v>45.43</v>
      </c>
      <c r="Y43" s="2">
        <f>VLOOKUP(B43,Rank_Data_All,9,FALSE)</f>
        <v>58.6</v>
      </c>
      <c r="Z43" s="2"/>
      <c r="AA43" s="47">
        <v>29420</v>
      </c>
      <c r="AB43" s="47">
        <v>4414</v>
      </c>
      <c r="AC43" s="46">
        <v>66</v>
      </c>
      <c r="AD43" s="47">
        <v>2534</v>
      </c>
      <c r="AE43" s="2"/>
      <c r="AF43" s="9" t="s">
        <v>205</v>
      </c>
      <c r="AG43" s="2"/>
      <c r="AH43" s="2"/>
    </row>
    <row r="44" spans="1:34" x14ac:dyDescent="0.25">
      <c r="A44" s="13">
        <v>20</v>
      </c>
      <c r="B44" s="39" t="s">
        <v>32</v>
      </c>
      <c r="C44" s="2" t="s">
        <v>97</v>
      </c>
      <c r="D44" s="2" t="s">
        <v>93</v>
      </c>
      <c r="E44" s="2" t="s">
        <v>56</v>
      </c>
      <c r="F44" s="2"/>
      <c r="G44" s="20" t="s">
        <v>777</v>
      </c>
      <c r="H44" s="20"/>
      <c r="I44" s="2"/>
      <c r="J44" s="2"/>
      <c r="K44" s="15">
        <v>43497</v>
      </c>
      <c r="L44" s="29">
        <v>80</v>
      </c>
      <c r="M44" s="2" t="s">
        <v>160</v>
      </c>
      <c r="N44" s="3">
        <v>30130</v>
      </c>
      <c r="O44" s="3">
        <v>13421</v>
      </c>
      <c r="P44" s="3">
        <f>N44+O44</f>
        <v>43551</v>
      </c>
      <c r="Q44" s="3"/>
      <c r="R44" s="2"/>
      <c r="S44" s="2">
        <f>VLOOKUP(B44,Overall_Rank,2,)</f>
        <v>56</v>
      </c>
      <c r="T44" s="2">
        <f>VLOOKUP(B44,Rank_Data_All,3,FALSE)</f>
        <v>180</v>
      </c>
      <c r="U44" s="2">
        <f>VLOOKUP(B44,Rank_Data_All,5,FALSE)</f>
        <v>225</v>
      </c>
      <c r="V44" s="2">
        <v>5.7000000000000002E-3</v>
      </c>
      <c r="W44" s="2">
        <v>38</v>
      </c>
      <c r="X44" s="2">
        <f>VLOOKUP(B44,Rank_Data_All,37,FALSE)</f>
        <v>42.52</v>
      </c>
      <c r="Y44" s="2">
        <f>VLOOKUP(B44,Rank_Data_All,9,FALSE)</f>
        <v>60.8</v>
      </c>
      <c r="Z44" s="2"/>
      <c r="AA44" s="47">
        <v>45456</v>
      </c>
      <c r="AB44" s="47">
        <v>4284</v>
      </c>
      <c r="AC44" s="46">
        <v>85</v>
      </c>
      <c r="AD44" s="47">
        <v>5658</v>
      </c>
      <c r="AE44" s="2"/>
      <c r="AF44" s="9" t="s">
        <v>214</v>
      </c>
      <c r="AG44" s="2"/>
      <c r="AH44" s="2"/>
    </row>
    <row r="45" spans="1:34" x14ac:dyDescent="0.25">
      <c r="A45" s="13">
        <v>16</v>
      </c>
      <c r="B45" s="39" t="s">
        <v>406</v>
      </c>
      <c r="C45" s="2" t="s">
        <v>90</v>
      </c>
      <c r="D45" s="2" t="s">
        <v>95</v>
      </c>
      <c r="E45" s="2" t="s">
        <v>56</v>
      </c>
      <c r="F45" s="2"/>
      <c r="G45" s="20" t="s">
        <v>777</v>
      </c>
      <c r="H45" s="20" t="s">
        <v>272</v>
      </c>
      <c r="I45" s="2"/>
      <c r="J45" s="2"/>
      <c r="K45" s="15">
        <v>43525</v>
      </c>
      <c r="L45" s="29">
        <v>80</v>
      </c>
      <c r="M45" s="2" t="s">
        <v>160</v>
      </c>
      <c r="N45" s="3">
        <v>29118</v>
      </c>
      <c r="O45" s="3">
        <v>19772</v>
      </c>
      <c r="P45" s="3">
        <f>N45+O45</f>
        <v>48890</v>
      </c>
      <c r="Q45" s="3"/>
      <c r="R45" s="2"/>
      <c r="S45" s="2">
        <f>VLOOKUP(B45,Overall_Rank,2,)</f>
        <v>58</v>
      </c>
      <c r="T45" s="2">
        <f>VLOOKUP(B45,Rank_Data_All,3,FALSE)</f>
        <v>384</v>
      </c>
      <c r="U45" s="2">
        <f>VLOOKUP(B45,Rank_Data_All,5,FALSE)</f>
        <v>325</v>
      </c>
      <c r="V45" s="2">
        <v>2.5600000000000001E-2</v>
      </c>
      <c r="W45" s="2">
        <v>55.6</v>
      </c>
      <c r="X45" s="2">
        <f>VLOOKUP(B45,Rank_Data_All,37,FALSE)</f>
        <v>43.48</v>
      </c>
      <c r="Y45" s="2">
        <f>VLOOKUP(B45,Rank_Data_All,9,FALSE)</f>
        <v>53.9</v>
      </c>
      <c r="Z45" s="2"/>
      <c r="AA45" s="47">
        <v>22465</v>
      </c>
      <c r="AB45" s="47">
        <v>1436</v>
      </c>
      <c r="AC45" s="46">
        <v>66</v>
      </c>
      <c r="AD45" s="47">
        <v>1458</v>
      </c>
      <c r="AE45" s="2"/>
      <c r="AF45" s="9" t="s">
        <v>223</v>
      </c>
      <c r="AG45" s="2"/>
      <c r="AH45" s="2"/>
    </row>
  </sheetData>
  <sortState ref="A2:AH45">
    <sortCondition ref="S2:S4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G2:G45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188</v>
      </c>
      <c r="D1" s="4" t="s">
        <v>683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6FDC-0722-4C8F-AFB8-041676F6E14B}">
  <dimension ref="A2:A5"/>
  <sheetViews>
    <sheetView workbookViewId="0">
      <selection activeCell="C4" sqref="C4"/>
    </sheetView>
  </sheetViews>
  <sheetFormatPr defaultRowHeight="15" x14ac:dyDescent="0.25"/>
  <cols>
    <col min="1" max="1" width="16.85546875" bestFit="1" customWidth="1"/>
  </cols>
  <sheetData>
    <row r="2" spans="1:1" x14ac:dyDescent="0.25">
      <c r="A2" s="1" t="s">
        <v>775</v>
      </c>
    </row>
    <row r="3" spans="1:1" x14ac:dyDescent="0.25">
      <c r="A3" s="2" t="s">
        <v>774</v>
      </c>
    </row>
    <row r="4" spans="1:1" x14ac:dyDescent="0.25">
      <c r="A4" s="2" t="s">
        <v>776</v>
      </c>
    </row>
    <row r="5" spans="1:1" x14ac:dyDescent="0.25">
      <c r="A5" s="2" t="s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D129"/>
  <sheetViews>
    <sheetView topLeftCell="A103" workbookViewId="0">
      <selection activeCell="B108" sqref="B108:C109"/>
    </sheetView>
  </sheetViews>
  <sheetFormatPr defaultRowHeight="15" x14ac:dyDescent="0.25"/>
  <cols>
    <col min="2" max="2" width="34.28515625" bestFit="1" customWidth="1"/>
    <col min="3" max="3" width="88.28515625" style="14" bestFit="1" customWidth="1"/>
    <col min="4" max="4" width="48.28515625" bestFit="1" customWidth="1"/>
    <col min="5" max="5" width="46.5703125" customWidth="1"/>
    <col min="6" max="6" width="75" customWidth="1"/>
    <col min="7" max="7" width="63.28515625" customWidth="1"/>
  </cols>
  <sheetData>
    <row r="1" spans="1:4" x14ac:dyDescent="0.25">
      <c r="A1" s="50" t="s">
        <v>0</v>
      </c>
      <c r="B1" s="50" t="s">
        <v>365</v>
      </c>
      <c r="C1" s="56" t="s">
        <v>33</v>
      </c>
      <c r="D1" s="56" t="s">
        <v>790</v>
      </c>
    </row>
    <row r="23" spans="2:4" x14ac:dyDescent="0.25">
      <c r="B23" t="s">
        <v>410</v>
      </c>
      <c r="C23" s="14" t="s">
        <v>802</v>
      </c>
    </row>
    <row r="24" spans="2:4" x14ac:dyDescent="0.25">
      <c r="B24" s="2" t="s">
        <v>11</v>
      </c>
      <c r="C24" s="5" t="s">
        <v>801</v>
      </c>
      <c r="D24" s="2"/>
    </row>
    <row r="25" spans="2:4" x14ac:dyDescent="0.25">
      <c r="B25" s="59" t="s">
        <v>399</v>
      </c>
      <c r="C25" s="5" t="s">
        <v>762</v>
      </c>
      <c r="D25" s="2"/>
    </row>
    <row r="26" spans="2:4" x14ac:dyDescent="0.25">
      <c r="B26" s="68"/>
      <c r="C26" s="5" t="s">
        <v>797</v>
      </c>
      <c r="D26" s="2"/>
    </row>
    <row r="27" spans="2:4" x14ac:dyDescent="0.25">
      <c r="B27" s="68"/>
      <c r="C27" s="5" t="s">
        <v>798</v>
      </c>
      <c r="D27" s="2"/>
    </row>
    <row r="28" spans="2:4" x14ac:dyDescent="0.25">
      <c r="B28" s="68"/>
      <c r="C28" s="5" t="s">
        <v>799</v>
      </c>
      <c r="D28" s="2"/>
    </row>
    <row r="29" spans="2:4" x14ac:dyDescent="0.25">
      <c r="B29" s="60"/>
      <c r="C29" s="5" t="s">
        <v>689</v>
      </c>
      <c r="D29" s="2"/>
    </row>
    <row r="30" spans="2:4" x14ac:dyDescent="0.25">
      <c r="B30" s="62" t="s">
        <v>395</v>
      </c>
      <c r="C30" s="5" t="s">
        <v>788</v>
      </c>
      <c r="D30" s="2" t="s">
        <v>791</v>
      </c>
    </row>
    <row r="31" spans="2:4" x14ac:dyDescent="0.25">
      <c r="B31" s="62"/>
      <c r="C31" s="5" t="s">
        <v>789</v>
      </c>
      <c r="D31" s="2"/>
    </row>
    <row r="32" spans="2:4" x14ac:dyDescent="0.25">
      <c r="B32" s="62"/>
      <c r="C32" s="5" t="s">
        <v>793</v>
      </c>
      <c r="D32" s="2"/>
    </row>
    <row r="33" spans="2:4" x14ac:dyDescent="0.25">
      <c r="B33" s="62"/>
      <c r="C33" s="5" t="s">
        <v>795</v>
      </c>
      <c r="D33" s="2"/>
    </row>
    <row r="34" spans="2:4" x14ac:dyDescent="0.25">
      <c r="B34" s="62"/>
      <c r="C34" s="5" t="s">
        <v>796</v>
      </c>
      <c r="D34" s="2"/>
    </row>
    <row r="35" spans="2:4" x14ac:dyDescent="0.25">
      <c r="B35" s="44" t="s">
        <v>7</v>
      </c>
      <c r="C35" s="5" t="s">
        <v>787</v>
      </c>
      <c r="D35" s="2"/>
    </row>
    <row r="36" spans="2:4" x14ac:dyDescent="0.25">
      <c r="B36" s="62" t="s">
        <v>393</v>
      </c>
      <c r="C36" s="5" t="s">
        <v>779</v>
      </c>
      <c r="D36" s="2"/>
    </row>
    <row r="37" spans="2:4" x14ac:dyDescent="0.25">
      <c r="B37" s="62"/>
      <c r="C37" s="5" t="s">
        <v>781</v>
      </c>
      <c r="D37" s="2"/>
    </row>
    <row r="38" spans="2:4" x14ac:dyDescent="0.25">
      <c r="B38" s="62"/>
      <c r="C38" s="5" t="s">
        <v>780</v>
      </c>
      <c r="D38" s="2"/>
    </row>
    <row r="39" spans="2:4" x14ac:dyDescent="0.25">
      <c r="B39" s="62"/>
      <c r="C39" s="5" t="s">
        <v>782</v>
      </c>
      <c r="D39" s="2"/>
    </row>
    <row r="40" spans="2:4" x14ac:dyDescent="0.25">
      <c r="B40" s="62"/>
      <c r="C40" s="5" t="s">
        <v>783</v>
      </c>
      <c r="D40" s="2"/>
    </row>
    <row r="41" spans="2:4" x14ac:dyDescent="0.25">
      <c r="B41" s="62"/>
      <c r="C41" s="5" t="s">
        <v>784</v>
      </c>
      <c r="D41" s="2"/>
    </row>
    <row r="42" spans="2:4" x14ac:dyDescent="0.25">
      <c r="B42" s="62"/>
      <c r="C42" s="5" t="s">
        <v>785</v>
      </c>
      <c r="D42" s="2"/>
    </row>
    <row r="43" spans="2:4" x14ac:dyDescent="0.25">
      <c r="B43" s="62"/>
      <c r="C43" s="5" t="s">
        <v>786</v>
      </c>
      <c r="D43" s="2"/>
    </row>
    <row r="44" spans="2:4" x14ac:dyDescent="0.25">
      <c r="B44" s="43" t="s">
        <v>110</v>
      </c>
      <c r="C44" s="5" t="s">
        <v>762</v>
      </c>
      <c r="D44" s="2"/>
    </row>
    <row r="45" spans="2:4" ht="30" x14ac:dyDescent="0.25">
      <c r="B45" s="2" t="s">
        <v>427</v>
      </c>
      <c r="C45" s="5" t="s">
        <v>770</v>
      </c>
      <c r="D45" s="2"/>
    </row>
    <row r="46" spans="2:4" x14ac:dyDescent="0.25">
      <c r="B46" s="61" t="s">
        <v>112</v>
      </c>
      <c r="C46" s="5" t="s">
        <v>764</v>
      </c>
      <c r="D46" s="2"/>
    </row>
    <row r="47" spans="2:4" x14ac:dyDescent="0.25">
      <c r="B47" s="61"/>
      <c r="C47" s="5" t="s">
        <v>765</v>
      </c>
      <c r="D47" s="2"/>
    </row>
    <row r="48" spans="2:4" x14ac:dyDescent="0.25">
      <c r="B48" s="61"/>
      <c r="C48" s="5" t="s">
        <v>766</v>
      </c>
      <c r="D48" s="2"/>
    </row>
    <row r="49" spans="2:4" ht="30" x14ac:dyDescent="0.25">
      <c r="B49" s="61"/>
      <c r="C49" s="5" t="s">
        <v>767</v>
      </c>
      <c r="D49" s="2"/>
    </row>
    <row r="50" spans="2:4" ht="30" x14ac:dyDescent="0.25">
      <c r="B50" s="61"/>
      <c r="C50" s="5" t="s">
        <v>768</v>
      </c>
      <c r="D50" s="2"/>
    </row>
    <row r="51" spans="2:4" x14ac:dyDescent="0.25">
      <c r="B51" s="61"/>
      <c r="C51" s="5" t="s">
        <v>769</v>
      </c>
      <c r="D51" s="2"/>
    </row>
    <row r="52" spans="2:4" x14ac:dyDescent="0.25">
      <c r="B52" s="62" t="s">
        <v>417</v>
      </c>
      <c r="C52" s="5" t="s">
        <v>756</v>
      </c>
      <c r="D52" s="2"/>
    </row>
    <row r="53" spans="2:4" x14ac:dyDescent="0.25">
      <c r="B53" s="62"/>
      <c r="C53" s="5" t="s">
        <v>757</v>
      </c>
      <c r="D53" s="2"/>
    </row>
    <row r="54" spans="2:4" x14ac:dyDescent="0.25">
      <c r="B54" s="62"/>
      <c r="C54" s="5" t="s">
        <v>758</v>
      </c>
      <c r="D54" s="2"/>
    </row>
    <row r="55" spans="2:4" x14ac:dyDescent="0.25">
      <c r="B55" s="62"/>
      <c r="C55" s="5" t="s">
        <v>760</v>
      </c>
      <c r="D55" s="2"/>
    </row>
    <row r="56" spans="2:4" x14ac:dyDescent="0.25">
      <c r="B56" s="62"/>
      <c r="C56" s="5" t="s">
        <v>762</v>
      </c>
      <c r="D56" s="2"/>
    </row>
    <row r="57" spans="2:4" x14ac:dyDescent="0.25">
      <c r="B57" s="62"/>
      <c r="C57" s="5" t="s">
        <v>763</v>
      </c>
      <c r="D57" s="2"/>
    </row>
    <row r="58" spans="2:4" x14ac:dyDescent="0.25">
      <c r="B58" s="62" t="s">
        <v>114</v>
      </c>
      <c r="C58" s="5" t="s">
        <v>753</v>
      </c>
      <c r="D58" s="2"/>
    </row>
    <row r="59" spans="2:4" x14ac:dyDescent="0.25">
      <c r="B59" s="62"/>
      <c r="C59" s="5" t="s">
        <v>755</v>
      </c>
      <c r="D59" s="2"/>
    </row>
    <row r="60" spans="2:4" x14ac:dyDescent="0.25">
      <c r="B60" s="55" t="s">
        <v>751</v>
      </c>
      <c r="C60" s="5" t="s">
        <v>752</v>
      </c>
      <c r="D60" s="2"/>
    </row>
    <row r="61" spans="2:4" x14ac:dyDescent="0.25">
      <c r="B61" s="62" t="s">
        <v>80</v>
      </c>
      <c r="C61" s="5" t="s">
        <v>740</v>
      </c>
      <c r="D61" s="2"/>
    </row>
    <row r="62" spans="2:4" x14ac:dyDescent="0.25">
      <c r="B62" s="62"/>
      <c r="C62" s="5" t="s">
        <v>741</v>
      </c>
      <c r="D62" s="2"/>
    </row>
    <row r="63" spans="2:4" x14ac:dyDescent="0.25">
      <c r="B63" s="62"/>
      <c r="C63" s="5" t="s">
        <v>742</v>
      </c>
      <c r="D63" s="2"/>
    </row>
    <row r="64" spans="2:4" x14ac:dyDescent="0.25">
      <c r="B64" s="62"/>
      <c r="C64" s="5" t="s">
        <v>743</v>
      </c>
      <c r="D64" s="2"/>
    </row>
    <row r="65" spans="2:4" x14ac:dyDescent="0.25">
      <c r="B65" s="62"/>
      <c r="C65" s="5" t="s">
        <v>744</v>
      </c>
      <c r="D65" s="2"/>
    </row>
    <row r="66" spans="2:4" x14ac:dyDescent="0.25">
      <c r="B66" s="62"/>
      <c r="C66" s="5" t="s">
        <v>746</v>
      </c>
      <c r="D66" s="2"/>
    </row>
    <row r="67" spans="2:4" x14ac:dyDescent="0.25">
      <c r="B67" s="62"/>
      <c r="C67" s="5" t="s">
        <v>747</v>
      </c>
      <c r="D67" s="2"/>
    </row>
    <row r="68" spans="2:4" x14ac:dyDescent="0.25">
      <c r="B68" s="62"/>
      <c r="C68" s="5" t="s">
        <v>748</v>
      </c>
      <c r="D68" s="2"/>
    </row>
    <row r="69" spans="2:4" x14ac:dyDescent="0.25">
      <c r="B69" s="62"/>
      <c r="C69" s="5" t="s">
        <v>749</v>
      </c>
      <c r="D69" s="2"/>
    </row>
    <row r="70" spans="2:4" x14ac:dyDescent="0.25">
      <c r="B70" s="62"/>
      <c r="C70" s="5" t="s">
        <v>750</v>
      </c>
      <c r="D70" s="2"/>
    </row>
    <row r="71" spans="2:4" x14ac:dyDescent="0.25">
      <c r="B71" s="62" t="s">
        <v>427</v>
      </c>
      <c r="C71" s="5" t="s">
        <v>737</v>
      </c>
      <c r="D71" s="2"/>
    </row>
    <row r="72" spans="2:4" x14ac:dyDescent="0.25">
      <c r="B72" s="62"/>
      <c r="C72" s="5" t="s">
        <v>738</v>
      </c>
      <c r="D72" s="2"/>
    </row>
    <row r="73" spans="2:4" x14ac:dyDescent="0.25">
      <c r="B73" s="62"/>
      <c r="C73" s="5" t="s">
        <v>739</v>
      </c>
      <c r="D73" s="2"/>
    </row>
    <row r="74" spans="2:4" x14ac:dyDescent="0.25">
      <c r="B74" s="2" t="s">
        <v>440</v>
      </c>
      <c r="C74" s="5" t="s">
        <v>736</v>
      </c>
      <c r="D74" s="2"/>
    </row>
    <row r="75" spans="2:4" x14ac:dyDescent="0.25">
      <c r="B75" s="67" t="s">
        <v>398</v>
      </c>
      <c r="C75" s="5" t="s">
        <v>726</v>
      </c>
      <c r="D75" s="2"/>
    </row>
    <row r="76" spans="2:4" x14ac:dyDescent="0.25">
      <c r="B76" s="67"/>
      <c r="C76" s="5" t="s">
        <v>731</v>
      </c>
      <c r="D76" s="2"/>
    </row>
    <row r="77" spans="2:4" x14ac:dyDescent="0.25">
      <c r="B77" s="67"/>
      <c r="C77" s="5" t="s">
        <v>727</v>
      </c>
      <c r="D77" s="2"/>
    </row>
    <row r="78" spans="2:4" x14ac:dyDescent="0.25">
      <c r="B78" s="67"/>
      <c r="C78" s="5" t="s">
        <v>728</v>
      </c>
      <c r="D78" s="2"/>
    </row>
    <row r="79" spans="2:4" x14ac:dyDescent="0.25">
      <c r="B79" s="67"/>
      <c r="C79" s="5" t="s">
        <v>729</v>
      </c>
      <c r="D79" s="2"/>
    </row>
    <row r="80" spans="2:4" x14ac:dyDescent="0.25">
      <c r="B80" s="67"/>
      <c r="C80" s="5" t="s">
        <v>730</v>
      </c>
      <c r="D80" s="2"/>
    </row>
    <row r="81" spans="2:4" x14ac:dyDescent="0.25">
      <c r="B81" s="92" t="s">
        <v>119</v>
      </c>
      <c r="C81" s="5" t="s">
        <v>722</v>
      </c>
      <c r="D81" s="2"/>
    </row>
    <row r="82" spans="2:4" x14ac:dyDescent="0.25">
      <c r="B82" s="92"/>
      <c r="C82" s="5" t="s">
        <v>723</v>
      </c>
      <c r="D82" s="2"/>
    </row>
    <row r="83" spans="2:4" x14ac:dyDescent="0.25">
      <c r="B83" s="92"/>
      <c r="C83" s="5" t="s">
        <v>724</v>
      </c>
      <c r="D83" s="2"/>
    </row>
    <row r="84" spans="2:4" x14ac:dyDescent="0.25">
      <c r="B84" s="62" t="s">
        <v>120</v>
      </c>
      <c r="C84" s="5" t="s">
        <v>712</v>
      </c>
      <c r="D84" s="2"/>
    </row>
    <row r="85" spans="2:4" x14ac:dyDescent="0.25">
      <c r="B85" s="62"/>
      <c r="C85" s="5" t="s">
        <v>713</v>
      </c>
      <c r="D85" s="2"/>
    </row>
    <row r="86" spans="2:4" x14ac:dyDescent="0.25">
      <c r="B86" s="62"/>
      <c r="C86" s="5" t="s">
        <v>714</v>
      </c>
      <c r="D86" s="2"/>
    </row>
    <row r="87" spans="2:4" x14ac:dyDescent="0.25">
      <c r="B87" s="62"/>
      <c r="C87" s="5" t="s">
        <v>715</v>
      </c>
      <c r="D87" s="2"/>
    </row>
    <row r="88" spans="2:4" x14ac:dyDescent="0.25">
      <c r="B88" s="62"/>
      <c r="C88" s="5" t="s">
        <v>716</v>
      </c>
      <c r="D88" s="2"/>
    </row>
    <row r="89" spans="2:4" x14ac:dyDescent="0.25">
      <c r="B89" s="62"/>
      <c r="C89" s="5" t="s">
        <v>717</v>
      </c>
      <c r="D89" s="2"/>
    </row>
    <row r="90" spans="2:4" x14ac:dyDescent="0.25">
      <c r="B90" s="62"/>
      <c r="C90" s="5" t="s">
        <v>718</v>
      </c>
      <c r="D90" s="2"/>
    </row>
    <row r="91" spans="2:4" x14ac:dyDescent="0.25">
      <c r="B91" s="62"/>
      <c r="C91" s="5" t="s">
        <v>719</v>
      </c>
      <c r="D91" s="2"/>
    </row>
    <row r="92" spans="2:4" ht="45" x14ac:dyDescent="0.25">
      <c r="B92" s="62"/>
      <c r="C92" s="5" t="s">
        <v>720</v>
      </c>
      <c r="D92" s="2"/>
    </row>
    <row r="93" spans="2:4" x14ac:dyDescent="0.25">
      <c r="B93" s="64" t="s">
        <v>121</v>
      </c>
      <c r="C93" s="5" t="s">
        <v>709</v>
      </c>
      <c r="D93" s="2"/>
    </row>
    <row r="94" spans="2:4" x14ac:dyDescent="0.25">
      <c r="B94" s="64"/>
      <c r="C94" s="5" t="s">
        <v>711</v>
      </c>
      <c r="D94" s="2"/>
    </row>
    <row r="95" spans="2:4" x14ac:dyDescent="0.25">
      <c r="B95" s="66" t="s">
        <v>122</v>
      </c>
      <c r="C95" s="5" t="s">
        <v>705</v>
      </c>
      <c r="D95" s="2"/>
    </row>
    <row r="96" spans="2:4" x14ac:dyDescent="0.25">
      <c r="B96" s="66"/>
      <c r="C96" s="5" t="s">
        <v>706</v>
      </c>
      <c r="D96" s="2"/>
    </row>
    <row r="97" spans="2:4" x14ac:dyDescent="0.25">
      <c r="B97" s="66"/>
      <c r="C97" s="5" t="s">
        <v>707</v>
      </c>
      <c r="D97" s="2"/>
    </row>
    <row r="98" spans="2:4" x14ac:dyDescent="0.25">
      <c r="B98" s="66"/>
      <c r="C98" s="5" t="s">
        <v>708</v>
      </c>
      <c r="D98" s="2"/>
    </row>
    <row r="99" spans="2:4" x14ac:dyDescent="0.25">
      <c r="B99" s="62" t="s">
        <v>123</v>
      </c>
      <c r="C99" s="5" t="s">
        <v>702</v>
      </c>
      <c r="D99" s="2"/>
    </row>
    <row r="100" spans="2:4" x14ac:dyDescent="0.25">
      <c r="B100" s="62"/>
      <c r="C100" s="5" t="s">
        <v>703</v>
      </c>
      <c r="D100" s="2"/>
    </row>
    <row r="101" spans="2:4" x14ac:dyDescent="0.25">
      <c r="B101" s="64" t="s">
        <v>124</v>
      </c>
      <c r="C101" s="5" t="s">
        <v>694</v>
      </c>
      <c r="D101" s="2"/>
    </row>
    <row r="102" spans="2:4" x14ac:dyDescent="0.25">
      <c r="B102" s="64"/>
      <c r="C102" s="5" t="s">
        <v>695</v>
      </c>
      <c r="D102" s="2"/>
    </row>
    <row r="103" spans="2:4" x14ac:dyDescent="0.25">
      <c r="B103" s="64"/>
      <c r="C103" s="5" t="s">
        <v>696</v>
      </c>
      <c r="D103" s="2"/>
    </row>
    <row r="104" spans="2:4" x14ac:dyDescent="0.25">
      <c r="B104" s="64"/>
      <c r="C104" s="5" t="s">
        <v>697</v>
      </c>
      <c r="D104" s="2"/>
    </row>
    <row r="105" spans="2:4" x14ac:dyDescent="0.25">
      <c r="B105" s="64"/>
      <c r="C105" s="5" t="s">
        <v>699</v>
      </c>
      <c r="D105" s="2"/>
    </row>
    <row r="106" spans="2:4" x14ac:dyDescent="0.25">
      <c r="B106" s="64"/>
      <c r="C106" s="5" t="s">
        <v>700</v>
      </c>
      <c r="D106" s="2"/>
    </row>
    <row r="107" spans="2:4" x14ac:dyDescent="0.25">
      <c r="B107" s="64"/>
      <c r="C107" s="5" t="s">
        <v>701</v>
      </c>
      <c r="D107" s="2"/>
    </row>
    <row r="108" spans="2:4" x14ac:dyDescent="0.25">
      <c r="B108" s="67" t="s">
        <v>125</v>
      </c>
      <c r="C108" s="5" t="s">
        <v>690</v>
      </c>
      <c r="D108" s="2"/>
    </row>
    <row r="109" spans="2:4" x14ac:dyDescent="0.25">
      <c r="B109" s="67"/>
      <c r="C109" s="5" t="s">
        <v>691</v>
      </c>
      <c r="D109" s="2"/>
    </row>
    <row r="110" spans="2:4" x14ac:dyDescent="0.25">
      <c r="B110" s="65" t="s">
        <v>126</v>
      </c>
      <c r="C110" s="5" t="s">
        <v>684</v>
      </c>
      <c r="D110" s="2"/>
    </row>
    <row r="111" spans="2:4" ht="30" x14ac:dyDescent="0.25">
      <c r="B111" s="65"/>
      <c r="C111" s="5" t="s">
        <v>685</v>
      </c>
      <c r="D111" s="2"/>
    </row>
    <row r="112" spans="2:4" x14ac:dyDescent="0.25">
      <c r="B112" s="65"/>
      <c r="C112" s="5" t="s">
        <v>686</v>
      </c>
      <c r="D112" s="2"/>
    </row>
    <row r="113" spans="2:4" x14ac:dyDescent="0.25">
      <c r="B113" s="65"/>
      <c r="C113" s="5" t="s">
        <v>687</v>
      </c>
      <c r="D113" s="2"/>
    </row>
    <row r="114" spans="2:4" x14ac:dyDescent="0.25">
      <c r="B114" s="65"/>
      <c r="C114" s="5" t="s">
        <v>688</v>
      </c>
      <c r="D114" s="2"/>
    </row>
    <row r="115" spans="2:4" x14ac:dyDescent="0.25">
      <c r="B115" s="65"/>
      <c r="C115" s="5" t="s">
        <v>689</v>
      </c>
      <c r="D115" s="2"/>
    </row>
    <row r="116" spans="2:4" x14ac:dyDescent="0.25">
      <c r="B116" s="62" t="s">
        <v>127</v>
      </c>
      <c r="C116" s="5" t="s">
        <v>678</v>
      </c>
      <c r="D116" s="2"/>
    </row>
    <row r="117" spans="2:4" x14ac:dyDescent="0.25">
      <c r="B117" s="62"/>
      <c r="C117" s="5" t="s">
        <v>677</v>
      </c>
      <c r="D117" s="2"/>
    </row>
    <row r="118" spans="2:4" x14ac:dyDescent="0.25">
      <c r="B118" s="62"/>
      <c r="C118" s="5" t="s">
        <v>682</v>
      </c>
      <c r="D118" s="2"/>
    </row>
    <row r="119" spans="2:4" x14ac:dyDescent="0.25">
      <c r="B119" s="63" t="s">
        <v>128</v>
      </c>
      <c r="C119" s="5" t="s">
        <v>669</v>
      </c>
      <c r="D119" s="2"/>
    </row>
    <row r="120" spans="2:4" x14ac:dyDescent="0.25">
      <c r="B120" s="63"/>
      <c r="C120" s="5" t="s">
        <v>670</v>
      </c>
      <c r="D120" s="2"/>
    </row>
    <row r="121" spans="2:4" x14ac:dyDescent="0.25">
      <c r="B121" s="63"/>
      <c r="C121" s="5" t="s">
        <v>672</v>
      </c>
      <c r="D121" s="2"/>
    </row>
    <row r="122" spans="2:4" x14ac:dyDescent="0.25">
      <c r="B122" s="63"/>
      <c r="C122" s="5" t="s">
        <v>673</v>
      </c>
      <c r="D122" s="2"/>
    </row>
    <row r="123" spans="2:4" x14ac:dyDescent="0.25">
      <c r="B123" s="63"/>
      <c r="C123" s="5" t="s">
        <v>674</v>
      </c>
      <c r="D123" s="2"/>
    </row>
    <row r="124" spans="2:4" x14ac:dyDescent="0.25">
      <c r="B124" s="63"/>
      <c r="C124" s="5" t="s">
        <v>675</v>
      </c>
      <c r="D124" s="2"/>
    </row>
    <row r="125" spans="2:4" x14ac:dyDescent="0.25">
      <c r="B125" s="64" t="s">
        <v>397</v>
      </c>
      <c r="C125" s="5" t="s">
        <v>660</v>
      </c>
      <c r="D125" s="2"/>
    </row>
    <row r="126" spans="2:4" x14ac:dyDescent="0.25">
      <c r="B126" s="64"/>
      <c r="C126" s="5" t="s">
        <v>663</v>
      </c>
      <c r="D126" s="2"/>
    </row>
    <row r="127" spans="2:4" x14ac:dyDescent="0.25">
      <c r="B127" s="64"/>
      <c r="C127" s="5" t="s">
        <v>664</v>
      </c>
      <c r="D127" s="2"/>
    </row>
    <row r="128" spans="2:4" x14ac:dyDescent="0.25">
      <c r="B128" s="64"/>
      <c r="C128" s="5" t="s">
        <v>665</v>
      </c>
      <c r="D128" s="2"/>
    </row>
    <row r="129" spans="2:4" x14ac:dyDescent="0.25">
      <c r="B129" s="64"/>
      <c r="C129" s="5" t="s">
        <v>666</v>
      </c>
      <c r="D129" s="2"/>
    </row>
  </sheetData>
  <mergeCells count="20">
    <mergeCell ref="B116:B118"/>
    <mergeCell ref="B36:B43"/>
    <mergeCell ref="B30:B34"/>
    <mergeCell ref="B25:B29"/>
    <mergeCell ref="B58:B59"/>
    <mergeCell ref="B46:B51"/>
    <mergeCell ref="B52:B57"/>
    <mergeCell ref="B119:B124"/>
    <mergeCell ref="B125:B129"/>
    <mergeCell ref="B110:B115"/>
    <mergeCell ref="B84:B92"/>
    <mergeCell ref="B99:B100"/>
    <mergeCell ref="B95:B98"/>
    <mergeCell ref="B93:B94"/>
    <mergeCell ref="B101:B107"/>
    <mergeCell ref="B108:B109"/>
    <mergeCell ref="B81:B83"/>
    <mergeCell ref="B75:B80"/>
    <mergeCell ref="B71:B73"/>
    <mergeCell ref="B61:B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53"/>
  <sheetViews>
    <sheetView topLeftCell="A25" workbookViewId="0">
      <selection activeCell="C52" sqref="C52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72" t="s">
        <v>313</v>
      </c>
      <c r="B1" s="73"/>
      <c r="C1" s="73"/>
      <c r="D1" s="73"/>
      <c r="E1" s="73"/>
      <c r="F1" s="73"/>
      <c r="G1" s="73"/>
    </row>
    <row r="3" spans="1:17" x14ac:dyDescent="0.25">
      <c r="A3" s="1" t="s">
        <v>0</v>
      </c>
      <c r="B3" s="1" t="s">
        <v>236</v>
      </c>
      <c r="C3" s="4" t="s">
        <v>235</v>
      </c>
      <c r="D3" s="4" t="s">
        <v>237</v>
      </c>
      <c r="E3" s="1" t="s">
        <v>255</v>
      </c>
      <c r="F3" s="4" t="s">
        <v>655</v>
      </c>
      <c r="G3" s="1" t="s">
        <v>289</v>
      </c>
      <c r="H3" s="1" t="s">
        <v>290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251</v>
      </c>
      <c r="N3" s="1" t="s">
        <v>252</v>
      </c>
      <c r="O3" s="1" t="s">
        <v>4</v>
      </c>
      <c r="P3" s="1" t="s">
        <v>30</v>
      </c>
      <c r="Q3" s="4" t="s">
        <v>33</v>
      </c>
    </row>
    <row r="4" spans="1:17" x14ac:dyDescent="0.25">
      <c r="A4" s="62">
        <v>1</v>
      </c>
      <c r="B4" s="71" t="s">
        <v>242</v>
      </c>
      <c r="C4" s="5" t="s">
        <v>244</v>
      </c>
      <c r="D4" s="5" t="s">
        <v>249</v>
      </c>
      <c r="E4" s="2" t="s">
        <v>288</v>
      </c>
      <c r="F4" s="5"/>
      <c r="G4" s="2" t="s">
        <v>292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62"/>
      <c r="B5" s="71"/>
      <c r="C5" s="5" t="s">
        <v>256</v>
      </c>
      <c r="D5" s="5" t="s">
        <v>249</v>
      </c>
      <c r="E5" s="2" t="s">
        <v>257</v>
      </c>
      <c r="F5" s="5"/>
      <c r="G5" s="2" t="s">
        <v>292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62"/>
      <c r="B6" s="71"/>
      <c r="C6" s="5" t="s">
        <v>287</v>
      </c>
      <c r="D6" s="5" t="s">
        <v>249</v>
      </c>
      <c r="E6" s="2" t="s">
        <v>288</v>
      </c>
      <c r="F6" s="5"/>
      <c r="G6" s="2" t="s">
        <v>292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62">
        <v>2</v>
      </c>
      <c r="B7" s="71" t="s">
        <v>7</v>
      </c>
      <c r="C7" s="5" t="s">
        <v>244</v>
      </c>
      <c r="D7" s="5" t="s">
        <v>249</v>
      </c>
      <c r="E7" s="2" t="s">
        <v>288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62"/>
      <c r="B8" s="71"/>
      <c r="C8" s="5" t="s">
        <v>253</v>
      </c>
      <c r="D8" s="5" t="s">
        <v>249</v>
      </c>
      <c r="E8" s="2" t="s">
        <v>288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62"/>
      <c r="B9" s="71"/>
      <c r="C9" s="5" t="s">
        <v>243</v>
      </c>
      <c r="D9" s="5" t="s">
        <v>249</v>
      </c>
      <c r="E9" s="2" t="s">
        <v>288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62"/>
      <c r="B10" s="71"/>
      <c r="C10" s="5" t="s">
        <v>254</v>
      </c>
      <c r="D10" s="5" t="s">
        <v>249</v>
      </c>
      <c r="E10" s="2" t="s">
        <v>288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62"/>
      <c r="B11" s="71"/>
      <c r="C11" s="5" t="s">
        <v>245</v>
      </c>
      <c r="D11" s="5" t="s">
        <v>249</v>
      </c>
      <c r="E11" s="2" t="s">
        <v>288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62"/>
      <c r="B12" s="71"/>
      <c r="C12" s="5" t="s">
        <v>246</v>
      </c>
      <c r="D12" s="5" t="s">
        <v>249</v>
      </c>
      <c r="E12" s="2" t="s">
        <v>288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62"/>
      <c r="B13" s="71"/>
      <c r="C13" s="5" t="s">
        <v>247</v>
      </c>
      <c r="D13" s="5" t="s">
        <v>250</v>
      </c>
      <c r="E13" s="2" t="s">
        <v>288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62"/>
      <c r="B14" s="71"/>
      <c r="C14" s="5" t="s">
        <v>248</v>
      </c>
      <c r="D14" s="5" t="s">
        <v>250</v>
      </c>
      <c r="E14" s="2" t="s">
        <v>288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25">
        <v>3</v>
      </c>
      <c r="B15" s="24" t="s">
        <v>17</v>
      </c>
      <c r="C15" s="5" t="s">
        <v>308</v>
      </c>
      <c r="D15" s="5" t="s">
        <v>309</v>
      </c>
      <c r="E15" s="2" t="s">
        <v>288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25">
        <v>3</v>
      </c>
      <c r="B16" s="24" t="s">
        <v>43</v>
      </c>
      <c r="C16" s="5" t="s">
        <v>166</v>
      </c>
      <c r="D16" s="27" t="s">
        <v>303</v>
      </c>
      <c r="E16" s="2" t="s">
        <v>288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307</v>
      </c>
    </row>
    <row r="17" spans="1:17" x14ac:dyDescent="0.25">
      <c r="A17" s="62">
        <v>4</v>
      </c>
      <c r="B17" s="71" t="s">
        <v>44</v>
      </c>
      <c r="C17" s="5" t="s">
        <v>168</v>
      </c>
      <c r="D17" s="5" t="s">
        <v>302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307</v>
      </c>
    </row>
    <row r="18" spans="1:17" x14ac:dyDescent="0.25">
      <c r="A18" s="62"/>
      <c r="B18" s="71"/>
      <c r="C18" s="5" t="s">
        <v>304</v>
      </c>
      <c r="D18" s="5" t="s">
        <v>302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307</v>
      </c>
    </row>
    <row r="19" spans="1:17" x14ac:dyDescent="0.25">
      <c r="A19" s="62"/>
      <c r="B19" s="71"/>
      <c r="C19" s="5" t="s">
        <v>305</v>
      </c>
      <c r="D19" s="5" t="s">
        <v>302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307</v>
      </c>
    </row>
    <row r="20" spans="1:17" x14ac:dyDescent="0.25">
      <c r="A20" s="62"/>
      <c r="B20" s="71"/>
      <c r="C20" s="5" t="s">
        <v>306</v>
      </c>
      <c r="D20" s="5" t="s">
        <v>302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307</v>
      </c>
    </row>
    <row r="21" spans="1:17" x14ac:dyDescent="0.25">
      <c r="A21" s="25">
        <v>5</v>
      </c>
      <c r="B21" s="24" t="s">
        <v>19</v>
      </c>
      <c r="C21" s="5" t="s">
        <v>312</v>
      </c>
      <c r="D21" s="5" t="s">
        <v>302</v>
      </c>
      <c r="E21" s="11" t="s">
        <v>288</v>
      </c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62">
        <v>6</v>
      </c>
      <c r="B22" s="71" t="s">
        <v>53</v>
      </c>
      <c r="C22" s="5" t="s">
        <v>315</v>
      </c>
      <c r="D22" s="5" t="s">
        <v>316</v>
      </c>
      <c r="E22" s="11" t="s">
        <v>288</v>
      </c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7" t="s">
        <v>317</v>
      </c>
    </row>
    <row r="23" spans="1:17" ht="30" x14ac:dyDescent="0.25">
      <c r="A23" s="62"/>
      <c r="B23" s="71"/>
      <c r="C23" s="5" t="s">
        <v>318</v>
      </c>
      <c r="D23" s="5" t="s">
        <v>316</v>
      </c>
      <c r="E23" s="11" t="s">
        <v>288</v>
      </c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62">
        <v>7</v>
      </c>
      <c r="B24" s="71" t="s">
        <v>80</v>
      </c>
      <c r="C24" s="5" t="s">
        <v>319</v>
      </c>
      <c r="D24" s="5" t="s">
        <v>322</v>
      </c>
      <c r="E24" s="11" t="s">
        <v>288</v>
      </c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62"/>
      <c r="B25" s="71"/>
      <c r="C25" s="5" t="s">
        <v>320</v>
      </c>
      <c r="D25" s="5" t="s">
        <v>322</v>
      </c>
      <c r="E25" s="11" t="s">
        <v>288</v>
      </c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323</v>
      </c>
    </row>
    <row r="26" spans="1:17" ht="30" x14ac:dyDescent="0.25">
      <c r="A26" s="62"/>
      <c r="B26" s="71"/>
      <c r="C26" s="5" t="s">
        <v>321</v>
      </c>
      <c r="D26" s="5" t="s">
        <v>322</v>
      </c>
      <c r="E26" s="11" t="s">
        <v>288</v>
      </c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62">
        <v>8</v>
      </c>
      <c r="B27" s="69" t="s">
        <v>109</v>
      </c>
      <c r="C27" s="5" t="s">
        <v>324</v>
      </c>
      <c r="D27" s="5" t="s">
        <v>326</v>
      </c>
      <c r="E27" s="2" t="s">
        <v>257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327</v>
      </c>
    </row>
    <row r="28" spans="1:17" ht="30" x14ac:dyDescent="0.25">
      <c r="A28" s="62"/>
      <c r="B28" s="69"/>
      <c r="C28" s="5" t="s">
        <v>325</v>
      </c>
      <c r="D28" s="5" t="s">
        <v>326</v>
      </c>
      <c r="E28" s="11" t="s">
        <v>288</v>
      </c>
      <c r="F28" s="27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328</v>
      </c>
    </row>
    <row r="29" spans="1:17" x14ac:dyDescent="0.25">
      <c r="A29" s="25">
        <v>9</v>
      </c>
      <c r="B29" s="2" t="s">
        <v>115</v>
      </c>
      <c r="C29" s="5" t="s">
        <v>331</v>
      </c>
      <c r="D29" s="5" t="s">
        <v>249</v>
      </c>
      <c r="E29" s="11" t="s">
        <v>257</v>
      </c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117</v>
      </c>
      <c r="C30" s="5" t="s">
        <v>335</v>
      </c>
      <c r="D30" s="5" t="s">
        <v>249</v>
      </c>
      <c r="E30" s="11" t="s">
        <v>334</v>
      </c>
      <c r="F30" s="27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59">
        <v>11</v>
      </c>
      <c r="B31" s="76" t="s">
        <v>119</v>
      </c>
      <c r="C31" s="5" t="s">
        <v>336</v>
      </c>
      <c r="D31" s="5" t="s">
        <v>249</v>
      </c>
      <c r="E31" s="11" t="s">
        <v>257</v>
      </c>
      <c r="F31" s="27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60"/>
      <c r="B32" s="77"/>
      <c r="C32" s="5" t="s">
        <v>725</v>
      </c>
      <c r="D32" s="5" t="s">
        <v>249</v>
      </c>
      <c r="E32" s="11" t="s">
        <v>257</v>
      </c>
      <c r="F32" s="27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62">
        <v>12</v>
      </c>
      <c r="B33" s="70" t="s">
        <v>120</v>
      </c>
      <c r="C33" s="5" t="s">
        <v>325</v>
      </c>
      <c r="D33" s="5" t="s">
        <v>249</v>
      </c>
      <c r="E33" s="11" t="s">
        <v>334</v>
      </c>
      <c r="F33" s="27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338</v>
      </c>
    </row>
    <row r="34" spans="1:17" ht="30" x14ac:dyDescent="0.25">
      <c r="A34" s="62"/>
      <c r="B34" s="70"/>
      <c r="C34" s="5" t="s">
        <v>339</v>
      </c>
      <c r="D34" s="5" t="s">
        <v>249</v>
      </c>
      <c r="E34" s="11" t="s">
        <v>257</v>
      </c>
      <c r="F34" s="27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340</v>
      </c>
    </row>
    <row r="35" spans="1:17" x14ac:dyDescent="0.25">
      <c r="A35" s="62">
        <v>13</v>
      </c>
      <c r="B35" s="75" t="s">
        <v>122</v>
      </c>
      <c r="C35" s="5" t="s">
        <v>344</v>
      </c>
      <c r="D35" s="5" t="s">
        <v>249</v>
      </c>
      <c r="E35" s="11" t="s">
        <v>288</v>
      </c>
      <c r="F35" s="27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62"/>
      <c r="B36" s="75"/>
      <c r="C36" s="5" t="s">
        <v>345</v>
      </c>
      <c r="D36" s="5" t="s">
        <v>249</v>
      </c>
      <c r="E36" s="11" t="s">
        <v>257</v>
      </c>
      <c r="F36" s="27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62">
        <v>14</v>
      </c>
      <c r="B37" s="70" t="s">
        <v>124</v>
      </c>
      <c r="C37" s="5" t="s">
        <v>350</v>
      </c>
      <c r="D37" s="5" t="s">
        <v>349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62"/>
      <c r="B38" s="70"/>
      <c r="C38" s="5" t="s">
        <v>347</v>
      </c>
      <c r="D38" s="5" t="s">
        <v>346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348</v>
      </c>
    </row>
    <row r="39" spans="1:17" x14ac:dyDescent="0.25">
      <c r="A39" s="62">
        <v>15</v>
      </c>
      <c r="B39" s="70" t="s">
        <v>125</v>
      </c>
      <c r="C39" s="5" t="s">
        <v>351</v>
      </c>
      <c r="D39" s="5" t="s">
        <v>249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62"/>
      <c r="B40" s="70"/>
      <c r="C40" s="5" t="s">
        <v>352</v>
      </c>
      <c r="D40" s="5" t="s">
        <v>249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62"/>
      <c r="B41" s="70"/>
      <c r="C41" s="5" t="s">
        <v>353</v>
      </c>
      <c r="D41" s="5" t="s">
        <v>249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62"/>
      <c r="B42" s="70"/>
      <c r="C42" s="5" t="s">
        <v>354</v>
      </c>
      <c r="D42" s="5" t="s">
        <v>249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355</v>
      </c>
    </row>
    <row r="43" spans="1:17" ht="30" x14ac:dyDescent="0.25">
      <c r="A43" s="62">
        <v>16</v>
      </c>
      <c r="B43" s="70" t="s">
        <v>127</v>
      </c>
      <c r="C43" s="5" t="s">
        <v>357</v>
      </c>
      <c r="D43" s="5" t="s">
        <v>358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359</v>
      </c>
    </row>
    <row r="44" spans="1:17" x14ac:dyDescent="0.25">
      <c r="A44" s="62"/>
      <c r="B44" s="70"/>
      <c r="C44" s="5" t="s">
        <v>351</v>
      </c>
      <c r="D44" s="5" t="s">
        <v>249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25">
        <v>17</v>
      </c>
      <c r="B45" s="2" t="s">
        <v>128</v>
      </c>
      <c r="C45" s="5" t="s">
        <v>360</v>
      </c>
      <c r="D45" s="5" t="s">
        <v>249</v>
      </c>
      <c r="E45" s="2"/>
      <c r="F45" s="51" t="s">
        <v>676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62">
        <v>18</v>
      </c>
      <c r="B46" s="74" t="s">
        <v>211</v>
      </c>
      <c r="C46" s="5" t="s">
        <v>361</v>
      </c>
      <c r="D46" s="5" t="s">
        <v>364</v>
      </c>
      <c r="E46" s="2"/>
      <c r="F46" s="51" t="s">
        <v>662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62"/>
      <c r="B47" s="74"/>
      <c r="C47" s="5" t="s">
        <v>362</v>
      </c>
      <c r="D47" s="5" t="s">
        <v>364</v>
      </c>
      <c r="E47" t="s">
        <v>257</v>
      </c>
      <c r="F47" s="51" t="s">
        <v>661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62"/>
      <c r="B48" s="74"/>
      <c r="C48" s="5" t="s">
        <v>347</v>
      </c>
      <c r="D48" s="5" t="s">
        <v>364</v>
      </c>
      <c r="E48" s="2"/>
      <c r="F48" s="51" t="s">
        <v>667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62"/>
      <c r="B49" s="74"/>
      <c r="C49" s="52" t="s">
        <v>363</v>
      </c>
      <c r="D49" s="5" t="s">
        <v>364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ht="30" x14ac:dyDescent="0.25">
      <c r="A50" s="62">
        <v>19</v>
      </c>
      <c r="B50" s="62" t="s">
        <v>393</v>
      </c>
      <c r="C50" s="5" t="s">
        <v>339</v>
      </c>
      <c r="D50" s="5" t="s">
        <v>364</v>
      </c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ht="30" x14ac:dyDescent="0.25">
      <c r="A51" s="62"/>
      <c r="B51" s="62"/>
      <c r="C51" s="5" t="s">
        <v>325</v>
      </c>
      <c r="D51" s="5" t="s">
        <v>364</v>
      </c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x14ac:dyDescent="0.25">
      <c r="A52" s="62">
        <v>20</v>
      </c>
      <c r="B52" s="62" t="s">
        <v>410</v>
      </c>
      <c r="C52" s="5" t="s">
        <v>803</v>
      </c>
      <c r="D52" s="5" t="s">
        <v>249</v>
      </c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x14ac:dyDescent="0.25">
      <c r="A53" s="62"/>
      <c r="B53" s="62"/>
      <c r="C53" s="5" t="s">
        <v>804</v>
      </c>
      <c r="D53" s="5" t="s">
        <v>249</v>
      </c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</sheetData>
  <mergeCells count="31">
    <mergeCell ref="B50:B51"/>
    <mergeCell ref="A50:A51"/>
    <mergeCell ref="B52:B53"/>
    <mergeCell ref="A52:A53"/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A31:A32"/>
    <mergeCell ref="B22:B23"/>
    <mergeCell ref="A22:A23"/>
    <mergeCell ref="A24:A26"/>
    <mergeCell ref="B7:B14"/>
    <mergeCell ref="B4:B6"/>
    <mergeCell ref="A4:A6"/>
    <mergeCell ref="A7:A14"/>
    <mergeCell ref="B17:B20"/>
    <mergeCell ref="A17:A20"/>
    <mergeCell ref="B27:B28"/>
    <mergeCell ref="A27:A28"/>
    <mergeCell ref="B33:B34"/>
    <mergeCell ref="A33:A34"/>
    <mergeCell ref="B24:B26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R64"/>
  <sheetViews>
    <sheetView workbookViewId="0">
      <selection activeCell="F5" sqref="D5:F5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3" width="12.140625" bestFit="1" customWidth="1"/>
    <col min="4" max="4" width="12" style="6" bestFit="1" customWidth="1"/>
    <col min="5" max="5" width="8.28515625" style="6" bestFit="1" customWidth="1"/>
    <col min="6" max="7" width="12" style="6" bestFit="1" customWidth="1"/>
    <col min="8" max="8" width="15.5703125" style="6" bestFit="1" customWidth="1"/>
    <col min="9" max="12" width="12" style="6" bestFit="1" customWidth="1"/>
    <col min="13" max="14" width="12" bestFit="1" customWidth="1"/>
    <col min="15" max="15" width="12.7109375" bestFit="1" customWidth="1"/>
    <col min="16" max="21" width="12" bestFit="1" customWidth="1"/>
    <col min="22" max="22" width="9" bestFit="1" customWidth="1"/>
    <col min="23" max="23" width="12.7109375" bestFit="1" customWidth="1"/>
    <col min="24" max="26" width="12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140625" bestFit="1" customWidth="1"/>
    <col min="32" max="32" width="12" bestFit="1" customWidth="1"/>
    <col min="33" max="33" width="12.7109375" bestFit="1" customWidth="1"/>
    <col min="34" max="34" width="12" bestFit="1" customWidth="1"/>
    <col min="35" max="35" width="12.7109375" bestFit="1" customWidth="1"/>
    <col min="36" max="36" width="12" bestFit="1" customWidth="1"/>
    <col min="37" max="38" width="12.28515625" customWidth="1"/>
  </cols>
  <sheetData>
    <row r="1" spans="1:44" ht="60" x14ac:dyDescent="0.25">
      <c r="A1" s="28" t="s">
        <v>0</v>
      </c>
      <c r="B1" s="28" t="s">
        <v>1</v>
      </c>
      <c r="C1" s="4" t="s">
        <v>5</v>
      </c>
      <c r="D1" s="1" t="s">
        <v>643</v>
      </c>
      <c r="E1" s="1" t="s">
        <v>633</v>
      </c>
      <c r="F1" s="1" t="s">
        <v>31</v>
      </c>
      <c r="G1" s="1" t="s">
        <v>634</v>
      </c>
      <c r="H1" s="1" t="s">
        <v>645</v>
      </c>
      <c r="I1" s="4" t="s">
        <v>639</v>
      </c>
      <c r="J1" s="4" t="s">
        <v>640</v>
      </c>
      <c r="K1" s="4" t="s">
        <v>641</v>
      </c>
      <c r="L1" s="4" t="s">
        <v>642</v>
      </c>
      <c r="M1" s="1" t="s">
        <v>614</v>
      </c>
      <c r="N1" s="1" t="s">
        <v>635</v>
      </c>
      <c r="O1" s="4" t="s">
        <v>615</v>
      </c>
      <c r="P1" s="4" t="s">
        <v>646</v>
      </c>
      <c r="Q1" s="4" t="s">
        <v>616</v>
      </c>
      <c r="R1" s="4" t="s">
        <v>647</v>
      </c>
      <c r="S1" s="4" t="s">
        <v>617</v>
      </c>
      <c r="T1" s="4" t="s">
        <v>636</v>
      </c>
      <c r="U1" s="4" t="s">
        <v>618</v>
      </c>
      <c r="V1" s="4" t="s">
        <v>648</v>
      </c>
      <c r="W1" s="4" t="s">
        <v>619</v>
      </c>
      <c r="X1" s="4" t="s">
        <v>649</v>
      </c>
      <c r="Y1" s="4" t="s">
        <v>620</v>
      </c>
      <c r="Z1" s="4" t="s">
        <v>637</v>
      </c>
      <c r="AA1" s="4" t="s">
        <v>621</v>
      </c>
      <c r="AB1" s="4" t="s">
        <v>650</v>
      </c>
      <c r="AC1" s="4" t="s">
        <v>622</v>
      </c>
      <c r="AD1" s="4" t="s">
        <v>651</v>
      </c>
      <c r="AE1" s="4" t="s">
        <v>623</v>
      </c>
      <c r="AF1" s="4" t="s">
        <v>638</v>
      </c>
      <c r="AG1" s="4" t="s">
        <v>624</v>
      </c>
      <c r="AH1" s="4" t="s">
        <v>652</v>
      </c>
      <c r="AI1" s="4" t="s">
        <v>625</v>
      </c>
      <c r="AJ1" s="4" t="s">
        <v>653</v>
      </c>
      <c r="AK1" s="38" t="s">
        <v>631</v>
      </c>
      <c r="AL1" s="4" t="s">
        <v>654</v>
      </c>
      <c r="AM1" s="4" t="s">
        <v>632</v>
      </c>
    </row>
    <row r="2" spans="1:44" x14ac:dyDescent="0.25">
      <c r="A2" s="13">
        <v>1</v>
      </c>
      <c r="B2" s="2" t="s">
        <v>35</v>
      </c>
      <c r="C2" s="2">
        <f t="shared" ref="C2:C33" si="0">RANK(AM2,$AM$2:$AM$59,1)</f>
        <v>1</v>
      </c>
      <c r="D2" s="2">
        <v>1</v>
      </c>
      <c r="E2" s="2">
        <f t="shared" ref="E2:E33" si="1" xml:space="preserve"> ROUND((((D2 - $D$63)/($D$62 - $D$63))*100),2)</f>
        <v>0</v>
      </c>
      <c r="F2" s="2">
        <v>1</v>
      </c>
      <c r="G2" s="2">
        <f t="shared" ref="G2:G33" si="2" xml:space="preserve"> ROUND((((F2 - $F$63)/($F$62 - $F$63))*100),2)</f>
        <v>0</v>
      </c>
      <c r="H2" s="2" t="b">
        <f t="shared" ref="H2:H33" si="3">D2&lt;=F2</f>
        <v>1</v>
      </c>
      <c r="I2" s="41">
        <f t="shared" ref="I2:I33" si="4">VLOOKUP(B2,Uni_TU_Lkp,6,FALSE)</f>
        <v>90.5</v>
      </c>
      <c r="J2" s="41">
        <f t="shared" ref="J2:J33" si="5">VLOOKUP(B2,Uni_TU_Lkp,7,FALSE)</f>
        <v>98.7</v>
      </c>
      <c r="K2" s="41">
        <f t="shared" ref="K2:K33" si="6">VLOOKUP(B2,Uni_TU_Lkp,8,FALSE)</f>
        <v>95.4</v>
      </c>
      <c r="L2" s="41">
        <f t="shared" ref="L2:L33" si="7">VLOOKUP(B2,Uni_TU_Lkp,9,FALSE)</f>
        <v>94.6</v>
      </c>
      <c r="M2" s="11">
        <f t="shared" ref="M2:M33" si="8">VLOOKUP(B2,AI_Rank,2,FALSE)</f>
        <v>12</v>
      </c>
      <c r="N2" s="2">
        <f t="shared" ref="N2:N33" si="9" xml:space="preserve"> ROUND((((M2 - $M$63)/($M$62 - $M$63))*100),2)</f>
        <v>6.11</v>
      </c>
      <c r="O2" s="11">
        <f t="shared" ref="O2:O33" si="10">VLOOKUP(B2,AI_Rank,3,FALSE)</f>
        <v>12.7</v>
      </c>
      <c r="P2" s="11">
        <f t="shared" ref="P2:P33" si="11" xml:space="preserve"> ROUND((((O2 - $O$63)/($O$62 - $O$63)) * 100),2)</f>
        <v>27.43</v>
      </c>
      <c r="Q2" s="11">
        <f t="shared" ref="Q2:Q33" si="12">VLOOKUP(B2,AI_Rank,4,FALSE)</f>
        <v>43</v>
      </c>
      <c r="R2" s="11">
        <f t="shared" ref="R2:R33" si="13" xml:space="preserve"> ROUND((((Q2 - $Q$63)/($Q$62 - $Q$63)) * 100),2)</f>
        <v>61.19</v>
      </c>
      <c r="S2" s="11">
        <f t="shared" ref="S2:S43" si="14">VLOOKUP(B2,Theory_Rank,2,FALSE)</f>
        <v>2</v>
      </c>
      <c r="T2" s="2">
        <f t="shared" ref="T2:T33" si="15" xml:space="preserve"> ROUND((((S2 - $S$63)/($S$62 - $S$63))*100),2)</f>
        <v>0.52</v>
      </c>
      <c r="U2" s="11">
        <f t="shared" ref="U2:U43" si="16">VLOOKUP(B2,Theory_Rank,3,FALSE)</f>
        <v>11.3</v>
      </c>
      <c r="V2" s="11">
        <f t="shared" ref="V2:V33" si="17" xml:space="preserve"> ROUND((((U2 - $U$63)/($U$62 - $U$63)) * 100),2)</f>
        <v>88.28</v>
      </c>
      <c r="W2" s="11">
        <f t="shared" ref="W2:W43" si="18">VLOOKUP(B2,Theory_Rank,4,FALSE)</f>
        <v>21</v>
      </c>
      <c r="X2" s="11">
        <f t="shared" ref="X2:X33" si="19" xml:space="preserve"> ROUND((((W2 - $W$63)/($W$62 - $W$63)) * 100),2)</f>
        <v>91.3</v>
      </c>
      <c r="Y2" s="11">
        <f t="shared" ref="Y2:Y18" si="20">VLOOKUP(B2,Systems_Rank,2,FALSE)</f>
        <v>3</v>
      </c>
      <c r="Z2" s="2">
        <f t="shared" ref="Z2:Z33" si="21" xml:space="preserve"> ROUND((((Y2 - $Y$63)/($Y$62 - $Y$63))*100),2)</f>
        <v>1.8</v>
      </c>
      <c r="AA2" s="11">
        <f t="shared" ref="AA2:AA18" si="22">VLOOKUP(B2,Systems_Rank,3,FALSE)</f>
        <v>6.2</v>
      </c>
      <c r="AB2" s="11">
        <f t="shared" ref="AB2:AB33" si="23" xml:space="preserve"> ROUND((((AA2 - $AA$63)/($AA$62 - $AA$63)) * 100),2)</f>
        <v>87.32</v>
      </c>
      <c r="AC2" s="11">
        <f t="shared" ref="AC2:AC18" si="24">VLOOKUP(B2,Systems_Rank,4,FALSE)</f>
        <v>40</v>
      </c>
      <c r="AD2" s="11">
        <f t="shared" ref="AD2:AD33" si="25" xml:space="preserve"> ROUND((((AC2 - $AC$63)/($AC$62 - $AC$63)) * 100),2)</f>
        <v>64.52</v>
      </c>
      <c r="AE2" s="11">
        <f t="shared" ref="AE2:AE18" si="26">VLOOKUP(B2,InterD_Rank,2,FALSE)</f>
        <v>6</v>
      </c>
      <c r="AF2" s="2">
        <f t="shared" ref="AF2:AF33" si="27" xml:space="preserve"> ROUND((((AE2 - $AE$63)/($AE$62 - $AE$63))*100),2)</f>
        <v>4.72</v>
      </c>
      <c r="AG2" s="11">
        <f t="shared" ref="AG2:AG18" si="28">VLOOKUP(B2,InterD_Rank,3,FALSE)</f>
        <v>9.8000000000000007</v>
      </c>
      <c r="AH2" s="11">
        <f t="shared" ref="AH2:AH33" si="29" xml:space="preserve"> ROUND((((AG2 - $AG$63)/($AG$62 - $AG$63)) * 100),2)</f>
        <v>56</v>
      </c>
      <c r="AI2" s="11">
        <f t="shared" ref="AI2:AI18" si="30">VLOOKUP(B2,InterD_Rank,4,FALSE)</f>
        <v>21</v>
      </c>
      <c r="AJ2" s="11">
        <f t="shared" ref="AJ2:AJ33" si="31" xml:space="preserve"> ROUND((((AI2 - $AI$63)/($AI$62 - $AI$63)) * 100),2)</f>
        <v>35</v>
      </c>
      <c r="AK2" s="2">
        <f t="shared" ref="AK2:AK33" si="32" xml:space="preserve"> ROUND((0.5 * N2 + 0.2 * T2 + 0.15 * Z2 + 0.15 * AF2),2)</f>
        <v>4.1399999999999997</v>
      </c>
      <c r="AL2" s="2">
        <f t="shared" ref="AL2:AL33" si="33">ROUND((0.5*((I2+K2+L2)/3) + 0.5 * ((0.6 *((P2 + R2)/2)) + (0.2 * ((T2 + V2)/2)) + (0.1 * ((AB2 + AD2)/2)) + (0.1 * ((AH2 + AJ2)/2)))),2)</f>
        <v>70.55</v>
      </c>
      <c r="AM2" s="2">
        <f t="shared" ref="AM2:AM33" si="34" xml:space="preserve"> ROUND((0.2 * E2 + 0.4 * G2 + 0.4 * AK2),2)</f>
        <v>1.66</v>
      </c>
    </row>
    <row r="3" spans="1:44" x14ac:dyDescent="0.25">
      <c r="A3" s="13">
        <v>2</v>
      </c>
      <c r="B3" s="2" t="s">
        <v>36</v>
      </c>
      <c r="C3" s="2">
        <f t="shared" si="0"/>
        <v>2</v>
      </c>
      <c r="D3" s="2">
        <v>2</v>
      </c>
      <c r="E3" s="2">
        <f t="shared" si="1"/>
        <v>0.22</v>
      </c>
      <c r="F3" s="2">
        <v>2</v>
      </c>
      <c r="G3" s="2">
        <f t="shared" si="2"/>
        <v>0.28000000000000003</v>
      </c>
      <c r="H3" s="2" t="b">
        <f t="shared" si="3"/>
        <v>1</v>
      </c>
      <c r="I3" s="41">
        <f t="shared" si="4"/>
        <v>87.8</v>
      </c>
      <c r="J3" s="41">
        <f t="shared" si="5"/>
        <v>96</v>
      </c>
      <c r="K3" s="41">
        <f t="shared" si="6"/>
        <v>100</v>
      </c>
      <c r="L3" s="41">
        <f t="shared" si="7"/>
        <v>100</v>
      </c>
      <c r="M3" s="11">
        <f t="shared" si="8"/>
        <v>5</v>
      </c>
      <c r="N3" s="2">
        <f t="shared" si="9"/>
        <v>2.2200000000000002</v>
      </c>
      <c r="O3" s="11">
        <f t="shared" si="10"/>
        <v>21.3</v>
      </c>
      <c r="P3" s="11">
        <f t="shared" si="11"/>
        <v>46</v>
      </c>
      <c r="Q3" s="11">
        <f t="shared" si="12"/>
        <v>34</v>
      </c>
      <c r="R3" s="11">
        <f t="shared" si="13"/>
        <v>47.76</v>
      </c>
      <c r="S3" s="11">
        <f t="shared" si="14"/>
        <v>14</v>
      </c>
      <c r="T3" s="2">
        <f t="shared" si="15"/>
        <v>6.81</v>
      </c>
      <c r="U3" s="11">
        <f t="shared" si="16"/>
        <v>6.7</v>
      </c>
      <c r="V3" s="11">
        <f t="shared" si="17"/>
        <v>52.34</v>
      </c>
      <c r="W3" s="11">
        <f t="shared" si="18"/>
        <v>15</v>
      </c>
      <c r="X3" s="11">
        <f t="shared" si="19"/>
        <v>65.22</v>
      </c>
      <c r="Y3" s="11">
        <f t="shared" si="20"/>
        <v>7</v>
      </c>
      <c r="Z3" s="2">
        <f t="shared" si="21"/>
        <v>5.41</v>
      </c>
      <c r="AA3" s="11">
        <f t="shared" si="22"/>
        <v>4.3</v>
      </c>
      <c r="AB3" s="11">
        <f t="shared" si="23"/>
        <v>60.56</v>
      </c>
      <c r="AC3" s="11">
        <f t="shared" si="24"/>
        <v>29</v>
      </c>
      <c r="AD3" s="11">
        <f t="shared" si="25"/>
        <v>46.77</v>
      </c>
      <c r="AE3" s="11">
        <f t="shared" si="26"/>
        <v>7</v>
      </c>
      <c r="AF3" s="2">
        <f t="shared" si="27"/>
        <v>5.66</v>
      </c>
      <c r="AG3" s="11">
        <f t="shared" si="28"/>
        <v>8.4</v>
      </c>
      <c r="AH3" s="11">
        <f t="shared" si="29"/>
        <v>48</v>
      </c>
      <c r="AI3" s="11">
        <f t="shared" si="30"/>
        <v>16</v>
      </c>
      <c r="AJ3" s="11">
        <f t="shared" si="31"/>
        <v>26.67</v>
      </c>
      <c r="AK3" s="2">
        <f t="shared" si="32"/>
        <v>4.13</v>
      </c>
      <c r="AL3" s="2">
        <f t="shared" si="33"/>
        <v>69.540000000000006</v>
      </c>
      <c r="AM3" s="2">
        <f t="shared" si="34"/>
        <v>1.81</v>
      </c>
    </row>
    <row r="4" spans="1:44" x14ac:dyDescent="0.25">
      <c r="A4" s="13">
        <v>3</v>
      </c>
      <c r="B4" s="2" t="s">
        <v>7</v>
      </c>
      <c r="C4" s="2">
        <f t="shared" si="0"/>
        <v>3</v>
      </c>
      <c r="D4" s="2">
        <v>46</v>
      </c>
      <c r="E4" s="2">
        <f t="shared" si="1"/>
        <v>10.02</v>
      </c>
      <c r="F4" s="2">
        <v>3</v>
      </c>
      <c r="G4" s="2">
        <f t="shared" si="2"/>
        <v>0.56999999999999995</v>
      </c>
      <c r="H4" s="2" t="b">
        <f t="shared" si="3"/>
        <v>0</v>
      </c>
      <c r="I4" s="41">
        <f t="shared" si="4"/>
        <v>100</v>
      </c>
      <c r="J4" s="41">
        <f t="shared" si="5"/>
        <v>82.4</v>
      </c>
      <c r="K4" s="41">
        <f t="shared" si="6"/>
        <v>94</v>
      </c>
      <c r="L4" s="41">
        <f t="shared" si="7"/>
        <v>94.8</v>
      </c>
      <c r="M4" s="11">
        <f t="shared" si="8"/>
        <v>1</v>
      </c>
      <c r="N4" s="2">
        <f t="shared" si="9"/>
        <v>0</v>
      </c>
      <c r="O4" s="11">
        <f t="shared" si="10"/>
        <v>46.3</v>
      </c>
      <c r="P4" s="11">
        <f t="shared" si="11"/>
        <v>100</v>
      </c>
      <c r="Q4" s="11">
        <f t="shared" si="12"/>
        <v>69</v>
      </c>
      <c r="R4" s="11">
        <f t="shared" si="13"/>
        <v>100</v>
      </c>
      <c r="S4" s="11">
        <f t="shared" si="14"/>
        <v>1</v>
      </c>
      <c r="T4" s="2">
        <f t="shared" si="15"/>
        <v>0</v>
      </c>
      <c r="U4" s="11">
        <f t="shared" si="16"/>
        <v>12.8</v>
      </c>
      <c r="V4" s="11">
        <f t="shared" si="17"/>
        <v>100</v>
      </c>
      <c r="W4" s="11">
        <f t="shared" si="18"/>
        <v>22</v>
      </c>
      <c r="X4" s="11">
        <f t="shared" si="19"/>
        <v>95.65</v>
      </c>
      <c r="Y4" s="11">
        <f t="shared" si="20"/>
        <v>4</v>
      </c>
      <c r="Z4" s="2">
        <f t="shared" si="21"/>
        <v>2.7</v>
      </c>
      <c r="AA4" s="11">
        <f t="shared" si="22"/>
        <v>6</v>
      </c>
      <c r="AB4" s="11">
        <f t="shared" si="23"/>
        <v>84.51</v>
      </c>
      <c r="AC4" s="11">
        <f t="shared" si="24"/>
        <v>62</v>
      </c>
      <c r="AD4" s="11">
        <f t="shared" si="25"/>
        <v>100</v>
      </c>
      <c r="AE4" s="11">
        <f t="shared" si="26"/>
        <v>2</v>
      </c>
      <c r="AF4" s="2">
        <f t="shared" si="27"/>
        <v>0.94</v>
      </c>
      <c r="AG4" s="11">
        <f t="shared" si="28"/>
        <v>17</v>
      </c>
      <c r="AH4" s="11">
        <f t="shared" si="29"/>
        <v>97.14</v>
      </c>
      <c r="AI4" s="11">
        <f t="shared" si="30"/>
        <v>60</v>
      </c>
      <c r="AJ4" s="11">
        <f t="shared" si="31"/>
        <v>100</v>
      </c>
      <c r="AK4" s="2">
        <f t="shared" si="32"/>
        <v>0.55000000000000004</v>
      </c>
      <c r="AL4" s="2">
        <f t="shared" si="33"/>
        <v>92.67</v>
      </c>
      <c r="AM4" s="2">
        <f t="shared" si="34"/>
        <v>2.4500000000000002</v>
      </c>
    </row>
    <row r="5" spans="1:44" x14ac:dyDescent="0.25">
      <c r="A5" s="13">
        <v>4</v>
      </c>
      <c r="B5" s="2" t="s">
        <v>393</v>
      </c>
      <c r="C5" s="2">
        <f t="shared" si="0"/>
        <v>4</v>
      </c>
      <c r="D5" s="2">
        <v>27</v>
      </c>
      <c r="E5" s="2">
        <f t="shared" si="1"/>
        <v>5.79</v>
      </c>
      <c r="F5" s="2">
        <v>4</v>
      </c>
      <c r="G5" s="2">
        <f t="shared" si="2"/>
        <v>0.85</v>
      </c>
      <c r="H5" s="2" t="b">
        <f t="shared" si="3"/>
        <v>0</v>
      </c>
      <c r="I5" s="41">
        <f t="shared" si="4"/>
        <v>85.7</v>
      </c>
      <c r="J5" s="41">
        <f t="shared" si="5"/>
        <v>89</v>
      </c>
      <c r="K5" s="41">
        <f t="shared" si="6"/>
        <v>93.3</v>
      </c>
      <c r="L5" s="41">
        <f t="shared" si="7"/>
        <v>98.4</v>
      </c>
      <c r="M5" s="11">
        <f t="shared" si="8"/>
        <v>11</v>
      </c>
      <c r="N5" s="2">
        <f t="shared" si="9"/>
        <v>5.56</v>
      </c>
      <c r="O5" s="11">
        <f t="shared" si="10"/>
        <v>13</v>
      </c>
      <c r="P5" s="11">
        <f t="shared" si="11"/>
        <v>28.08</v>
      </c>
      <c r="Q5" s="11">
        <f t="shared" si="12"/>
        <v>37</v>
      </c>
      <c r="R5" s="11">
        <f t="shared" si="13"/>
        <v>52.24</v>
      </c>
      <c r="S5" s="11">
        <f t="shared" si="14"/>
        <v>7</v>
      </c>
      <c r="T5" s="2">
        <f t="shared" si="15"/>
        <v>3.14</v>
      </c>
      <c r="U5" s="11">
        <f t="shared" si="16"/>
        <v>8.8000000000000007</v>
      </c>
      <c r="V5" s="11">
        <f t="shared" si="17"/>
        <v>68.75</v>
      </c>
      <c r="W5" s="11">
        <f t="shared" si="18"/>
        <v>15</v>
      </c>
      <c r="X5" s="11">
        <f t="shared" si="19"/>
        <v>65.22</v>
      </c>
      <c r="Y5" s="11">
        <f t="shared" si="20"/>
        <v>5</v>
      </c>
      <c r="Z5" s="2">
        <f t="shared" si="21"/>
        <v>3.6</v>
      </c>
      <c r="AA5" s="11">
        <f t="shared" si="22"/>
        <v>5.7</v>
      </c>
      <c r="AB5" s="11">
        <f t="shared" si="23"/>
        <v>80.28</v>
      </c>
      <c r="AC5" s="11">
        <f t="shared" si="24"/>
        <v>39</v>
      </c>
      <c r="AD5" s="11">
        <f t="shared" si="25"/>
        <v>62.9</v>
      </c>
      <c r="AE5" s="11">
        <f t="shared" si="26"/>
        <v>5</v>
      </c>
      <c r="AF5" s="2">
        <f t="shared" si="27"/>
        <v>3.77</v>
      </c>
      <c r="AG5" s="11">
        <f t="shared" si="28"/>
        <v>10.8</v>
      </c>
      <c r="AH5" s="11">
        <f t="shared" si="29"/>
        <v>61.71</v>
      </c>
      <c r="AI5" s="11">
        <f t="shared" si="30"/>
        <v>27</v>
      </c>
      <c r="AJ5" s="11">
        <f t="shared" si="31"/>
        <v>45</v>
      </c>
      <c r="AK5" s="2">
        <f t="shared" si="32"/>
        <v>4.51</v>
      </c>
      <c r="AL5" s="2">
        <f t="shared" si="33"/>
        <v>68.12</v>
      </c>
      <c r="AM5" s="2">
        <f t="shared" si="34"/>
        <v>3.3</v>
      </c>
    </row>
    <row r="6" spans="1:44" x14ac:dyDescent="0.25">
      <c r="A6" s="13">
        <v>5</v>
      </c>
      <c r="B6" s="2" t="s">
        <v>120</v>
      </c>
      <c r="C6" s="2">
        <f t="shared" si="0"/>
        <v>5</v>
      </c>
      <c r="D6" s="2">
        <v>14</v>
      </c>
      <c r="E6" s="2">
        <f t="shared" si="1"/>
        <v>2.9</v>
      </c>
      <c r="F6" s="2">
        <v>25</v>
      </c>
      <c r="G6" s="2">
        <f t="shared" si="2"/>
        <v>6.82</v>
      </c>
      <c r="H6" s="2" t="b">
        <f t="shared" si="3"/>
        <v>1</v>
      </c>
      <c r="I6" s="41">
        <f t="shared" si="4"/>
        <v>76.5</v>
      </c>
      <c r="J6" s="41">
        <f t="shared" si="5"/>
        <v>76.900000000000006</v>
      </c>
      <c r="K6" s="41">
        <f t="shared" si="6"/>
        <v>85.3</v>
      </c>
      <c r="L6" s="41">
        <f t="shared" si="7"/>
        <v>96.4</v>
      </c>
      <c r="M6" s="11">
        <f t="shared" si="8"/>
        <v>4</v>
      </c>
      <c r="N6" s="2">
        <f t="shared" si="9"/>
        <v>1.67</v>
      </c>
      <c r="O6" s="11">
        <f t="shared" si="10"/>
        <v>22.3</v>
      </c>
      <c r="P6" s="11">
        <f t="shared" si="11"/>
        <v>48.16</v>
      </c>
      <c r="Q6" s="11">
        <f t="shared" si="12"/>
        <v>40</v>
      </c>
      <c r="R6" s="11">
        <f t="shared" si="13"/>
        <v>56.72</v>
      </c>
      <c r="S6" s="11">
        <f t="shared" si="14"/>
        <v>6</v>
      </c>
      <c r="T6" s="2">
        <f t="shared" si="15"/>
        <v>2.62</v>
      </c>
      <c r="U6" s="11">
        <f t="shared" si="16"/>
        <v>9.1</v>
      </c>
      <c r="V6" s="11">
        <f t="shared" si="17"/>
        <v>71.09</v>
      </c>
      <c r="W6" s="11">
        <f t="shared" si="18"/>
        <v>14</v>
      </c>
      <c r="X6" s="11">
        <f t="shared" si="19"/>
        <v>60.87</v>
      </c>
      <c r="Y6" s="11">
        <f t="shared" si="20"/>
        <v>10</v>
      </c>
      <c r="Z6" s="2">
        <f t="shared" si="21"/>
        <v>8.11</v>
      </c>
      <c r="AA6" s="11">
        <f t="shared" si="22"/>
        <v>3.8</v>
      </c>
      <c r="AB6" s="11">
        <f t="shared" si="23"/>
        <v>53.52</v>
      </c>
      <c r="AC6" s="11">
        <f t="shared" si="24"/>
        <v>30</v>
      </c>
      <c r="AD6" s="11">
        <f t="shared" si="25"/>
        <v>48.39</v>
      </c>
      <c r="AE6" s="11">
        <f t="shared" si="26"/>
        <v>12</v>
      </c>
      <c r="AF6" s="2">
        <f t="shared" si="27"/>
        <v>10.38</v>
      </c>
      <c r="AG6" s="11">
        <f t="shared" si="28"/>
        <v>7.4</v>
      </c>
      <c r="AH6" s="11">
        <f t="shared" si="29"/>
        <v>42.29</v>
      </c>
      <c r="AI6" s="11">
        <f t="shared" si="30"/>
        <v>20</v>
      </c>
      <c r="AJ6" s="11">
        <f t="shared" si="31"/>
        <v>33.33</v>
      </c>
      <c r="AK6" s="2">
        <f t="shared" si="32"/>
        <v>4.13</v>
      </c>
      <c r="AL6" s="2">
        <f t="shared" si="33"/>
        <v>66.89</v>
      </c>
      <c r="AM6" s="2">
        <f t="shared" si="34"/>
        <v>4.96</v>
      </c>
    </row>
    <row r="7" spans="1:44" x14ac:dyDescent="0.25">
      <c r="A7" s="13">
        <v>6</v>
      </c>
      <c r="B7" s="2" t="s">
        <v>124</v>
      </c>
      <c r="C7" s="2">
        <f t="shared" si="0"/>
        <v>6</v>
      </c>
      <c r="D7" s="2">
        <v>20</v>
      </c>
      <c r="E7" s="2">
        <f t="shared" si="1"/>
        <v>4.2300000000000004</v>
      </c>
      <c r="F7" s="2">
        <v>45</v>
      </c>
      <c r="G7" s="2">
        <f t="shared" si="2"/>
        <v>12.5</v>
      </c>
      <c r="H7" s="2" t="b">
        <f t="shared" si="3"/>
        <v>1</v>
      </c>
      <c r="I7" s="41">
        <f t="shared" si="4"/>
        <v>63.4</v>
      </c>
      <c r="J7" s="41">
        <f t="shared" si="5"/>
        <v>80</v>
      </c>
      <c r="K7" s="41">
        <f t="shared" si="6"/>
        <v>86.8</v>
      </c>
      <c r="L7" s="41">
        <f t="shared" si="7"/>
        <v>91.7</v>
      </c>
      <c r="M7" s="11">
        <f t="shared" si="8"/>
        <v>9</v>
      </c>
      <c r="N7" s="2">
        <f t="shared" si="9"/>
        <v>4.4400000000000004</v>
      </c>
      <c r="O7" s="11">
        <f t="shared" si="10"/>
        <v>14</v>
      </c>
      <c r="P7" s="11">
        <f t="shared" si="11"/>
        <v>30.24</v>
      </c>
      <c r="Q7" s="11">
        <f t="shared" si="12"/>
        <v>30</v>
      </c>
      <c r="R7" s="11">
        <f t="shared" si="13"/>
        <v>41.79</v>
      </c>
      <c r="S7" s="11">
        <f t="shared" si="14"/>
        <v>28</v>
      </c>
      <c r="T7" s="2">
        <f t="shared" si="15"/>
        <v>14.14</v>
      </c>
      <c r="U7" s="11">
        <f t="shared" si="16"/>
        <v>4.3</v>
      </c>
      <c r="V7" s="11">
        <f t="shared" si="17"/>
        <v>33.590000000000003</v>
      </c>
      <c r="W7" s="11">
        <f t="shared" si="18"/>
        <v>7</v>
      </c>
      <c r="X7" s="11">
        <f t="shared" si="19"/>
        <v>30.43</v>
      </c>
      <c r="Y7" s="11">
        <f t="shared" si="20"/>
        <v>2</v>
      </c>
      <c r="Z7" s="2">
        <f t="shared" si="21"/>
        <v>0.9</v>
      </c>
      <c r="AA7" s="11">
        <f t="shared" si="22"/>
        <v>6.5</v>
      </c>
      <c r="AB7" s="11">
        <f t="shared" si="23"/>
        <v>91.55</v>
      </c>
      <c r="AC7" s="11">
        <f t="shared" si="24"/>
        <v>38</v>
      </c>
      <c r="AD7" s="11">
        <f t="shared" si="25"/>
        <v>61.29</v>
      </c>
      <c r="AE7" s="11">
        <f t="shared" si="26"/>
        <v>4</v>
      </c>
      <c r="AF7" s="2">
        <f t="shared" si="27"/>
        <v>2.83</v>
      </c>
      <c r="AG7" s="11">
        <f t="shared" si="28"/>
        <v>11.2</v>
      </c>
      <c r="AH7" s="11">
        <f t="shared" si="29"/>
        <v>64</v>
      </c>
      <c r="AI7" s="11">
        <f t="shared" si="30"/>
        <v>21</v>
      </c>
      <c r="AJ7" s="11">
        <f t="shared" si="31"/>
        <v>35</v>
      </c>
      <c r="AK7" s="2">
        <f t="shared" si="32"/>
        <v>5.61</v>
      </c>
      <c r="AL7" s="2">
        <f t="shared" si="33"/>
        <v>59.8</v>
      </c>
      <c r="AM7" s="2">
        <f t="shared" si="34"/>
        <v>8.09</v>
      </c>
    </row>
    <row r="8" spans="1:44" x14ac:dyDescent="0.25">
      <c r="A8" s="13">
        <v>7</v>
      </c>
      <c r="B8" s="2" t="s">
        <v>208</v>
      </c>
      <c r="C8" s="2">
        <f t="shared" si="0"/>
        <v>7</v>
      </c>
      <c r="D8" s="2">
        <v>69</v>
      </c>
      <c r="E8" s="2">
        <f t="shared" si="1"/>
        <v>15.14</v>
      </c>
      <c r="F8" s="2">
        <v>21</v>
      </c>
      <c r="G8" s="2">
        <f t="shared" si="2"/>
        <v>5.68</v>
      </c>
      <c r="H8" s="2" t="b">
        <f t="shared" si="3"/>
        <v>0</v>
      </c>
      <c r="I8" s="41">
        <f t="shared" si="4"/>
        <v>75.2</v>
      </c>
      <c r="J8" s="41">
        <f t="shared" si="5"/>
        <v>79.3</v>
      </c>
      <c r="K8" s="41">
        <f t="shared" si="6"/>
        <v>91.8</v>
      </c>
      <c r="L8" s="41">
        <f t="shared" si="7"/>
        <v>91.4</v>
      </c>
      <c r="M8" s="11">
        <f t="shared" si="8"/>
        <v>7</v>
      </c>
      <c r="N8" s="2">
        <f t="shared" si="9"/>
        <v>3.33</v>
      </c>
      <c r="O8" s="11">
        <f t="shared" si="10"/>
        <v>17.3</v>
      </c>
      <c r="P8" s="11">
        <f t="shared" si="11"/>
        <v>37.369999999999997</v>
      </c>
      <c r="Q8" s="11">
        <f t="shared" si="12"/>
        <v>32</v>
      </c>
      <c r="R8" s="11">
        <f t="shared" si="13"/>
        <v>44.78</v>
      </c>
      <c r="S8" s="11">
        <f t="shared" si="14"/>
        <v>40</v>
      </c>
      <c r="T8" s="2">
        <f t="shared" si="15"/>
        <v>20.420000000000002</v>
      </c>
      <c r="U8" s="11">
        <f t="shared" si="16"/>
        <v>3.4</v>
      </c>
      <c r="V8" s="11">
        <f t="shared" si="17"/>
        <v>26.56</v>
      </c>
      <c r="W8" s="11">
        <f t="shared" si="18"/>
        <v>7</v>
      </c>
      <c r="X8" s="11">
        <f t="shared" si="19"/>
        <v>30.43</v>
      </c>
      <c r="Y8" s="11">
        <f t="shared" si="20"/>
        <v>20</v>
      </c>
      <c r="Z8" s="2">
        <f t="shared" si="21"/>
        <v>17.12</v>
      </c>
      <c r="AA8" s="11">
        <f t="shared" si="22"/>
        <v>2.8</v>
      </c>
      <c r="AB8" s="11">
        <f t="shared" si="23"/>
        <v>39.44</v>
      </c>
      <c r="AC8" s="11">
        <f t="shared" si="24"/>
        <v>33</v>
      </c>
      <c r="AD8" s="11">
        <f t="shared" si="25"/>
        <v>53.23</v>
      </c>
      <c r="AE8" s="11">
        <f t="shared" si="26"/>
        <v>3</v>
      </c>
      <c r="AF8" s="2">
        <f t="shared" si="27"/>
        <v>1.89</v>
      </c>
      <c r="AG8" s="11">
        <f t="shared" si="28"/>
        <v>15.7</v>
      </c>
      <c r="AH8" s="11">
        <f t="shared" si="29"/>
        <v>89.71</v>
      </c>
      <c r="AI8" s="11">
        <f t="shared" si="30"/>
        <v>35</v>
      </c>
      <c r="AJ8" s="11">
        <f t="shared" si="31"/>
        <v>58.33</v>
      </c>
      <c r="AK8" s="2">
        <f t="shared" si="32"/>
        <v>8.6</v>
      </c>
      <c r="AL8" s="2">
        <f t="shared" si="33"/>
        <v>63.76</v>
      </c>
      <c r="AM8" s="2">
        <f t="shared" si="34"/>
        <v>8.74</v>
      </c>
    </row>
    <row r="9" spans="1:44" x14ac:dyDescent="0.25">
      <c r="A9" s="13">
        <v>8</v>
      </c>
      <c r="B9" s="2" t="s">
        <v>17</v>
      </c>
      <c r="C9" s="2">
        <f t="shared" si="0"/>
        <v>8</v>
      </c>
      <c r="D9" s="2">
        <v>3</v>
      </c>
      <c r="E9" s="2">
        <f t="shared" si="1"/>
        <v>0.45</v>
      </c>
      <c r="F9" s="2">
        <v>6</v>
      </c>
      <c r="G9" s="2">
        <f t="shared" si="2"/>
        <v>1.42</v>
      </c>
      <c r="H9" s="2" t="b">
        <f t="shared" si="3"/>
        <v>1</v>
      </c>
      <c r="I9" s="41">
        <f t="shared" si="4"/>
        <v>80.400000000000006</v>
      </c>
      <c r="J9" s="41">
        <f t="shared" si="5"/>
        <v>100</v>
      </c>
      <c r="K9" s="41">
        <f t="shared" si="6"/>
        <v>80.599999999999994</v>
      </c>
      <c r="L9" s="41">
        <f t="shared" si="7"/>
        <v>93.6</v>
      </c>
      <c r="M9" s="11">
        <f t="shared" si="8"/>
        <v>36</v>
      </c>
      <c r="N9" s="2">
        <f t="shared" si="9"/>
        <v>19.440000000000001</v>
      </c>
      <c r="O9" s="11">
        <f t="shared" si="10"/>
        <v>7.1</v>
      </c>
      <c r="P9" s="11">
        <f t="shared" si="11"/>
        <v>15.33</v>
      </c>
      <c r="Q9" s="11">
        <f t="shared" si="12"/>
        <v>14</v>
      </c>
      <c r="R9" s="11">
        <f t="shared" si="13"/>
        <v>17.91</v>
      </c>
      <c r="S9" s="11">
        <f t="shared" si="14"/>
        <v>40</v>
      </c>
      <c r="T9" s="2">
        <f t="shared" si="15"/>
        <v>20.420000000000002</v>
      </c>
      <c r="U9" s="11">
        <f t="shared" si="16"/>
        <v>3.4</v>
      </c>
      <c r="V9" s="11">
        <f t="shared" si="17"/>
        <v>26.56</v>
      </c>
      <c r="W9" s="11">
        <f t="shared" si="18"/>
        <v>8</v>
      </c>
      <c r="X9" s="11">
        <f t="shared" si="19"/>
        <v>34.78</v>
      </c>
      <c r="Y9" s="11">
        <f t="shared" si="20"/>
        <v>39</v>
      </c>
      <c r="Z9" s="2">
        <f t="shared" si="21"/>
        <v>34.229999999999997</v>
      </c>
      <c r="AA9" s="11">
        <f t="shared" si="22"/>
        <v>1.8</v>
      </c>
      <c r="AB9" s="11">
        <f t="shared" si="23"/>
        <v>25.35</v>
      </c>
      <c r="AC9" s="11">
        <f t="shared" si="24"/>
        <v>8</v>
      </c>
      <c r="AD9" s="11">
        <f t="shared" si="25"/>
        <v>12.9</v>
      </c>
      <c r="AE9" s="11">
        <f t="shared" si="26"/>
        <v>15</v>
      </c>
      <c r="AF9" s="2">
        <f t="shared" si="27"/>
        <v>13.21</v>
      </c>
      <c r="AG9" s="11">
        <f t="shared" si="28"/>
        <v>5.8</v>
      </c>
      <c r="AH9" s="11">
        <f t="shared" si="29"/>
        <v>33.14</v>
      </c>
      <c r="AI9" s="11">
        <f t="shared" si="30"/>
        <v>9</v>
      </c>
      <c r="AJ9" s="11">
        <f t="shared" si="31"/>
        <v>15</v>
      </c>
      <c r="AK9" s="2">
        <f t="shared" si="32"/>
        <v>20.92</v>
      </c>
      <c r="AL9" s="2">
        <f t="shared" si="33"/>
        <v>51.93</v>
      </c>
      <c r="AM9" s="2">
        <f t="shared" si="34"/>
        <v>9.0299999999999994</v>
      </c>
    </row>
    <row r="10" spans="1:44" x14ac:dyDescent="0.25">
      <c r="A10" s="13">
        <v>9</v>
      </c>
      <c r="B10" s="2" t="s">
        <v>407</v>
      </c>
      <c r="C10" s="2">
        <f t="shared" si="0"/>
        <v>9</v>
      </c>
      <c r="D10" s="2">
        <v>16</v>
      </c>
      <c r="E10" s="2">
        <f t="shared" si="1"/>
        <v>3.34</v>
      </c>
      <c r="F10" s="2">
        <v>24</v>
      </c>
      <c r="G10" s="2">
        <f t="shared" si="2"/>
        <v>6.53</v>
      </c>
      <c r="H10" s="2" t="b">
        <f t="shared" si="3"/>
        <v>1</v>
      </c>
      <c r="I10" s="41">
        <f t="shared" si="4"/>
        <v>75.599999999999994</v>
      </c>
      <c r="J10" s="41">
        <f t="shared" si="5"/>
        <v>81</v>
      </c>
      <c r="K10" s="41">
        <f t="shared" si="6"/>
        <v>83.1</v>
      </c>
      <c r="L10" s="41">
        <f t="shared" si="7"/>
        <v>93.5</v>
      </c>
      <c r="M10" s="11">
        <f t="shared" si="8"/>
        <v>25</v>
      </c>
      <c r="N10" s="2">
        <f t="shared" si="9"/>
        <v>13.33</v>
      </c>
      <c r="O10" s="11">
        <f t="shared" si="10"/>
        <v>9.1</v>
      </c>
      <c r="P10" s="11">
        <f t="shared" si="11"/>
        <v>19.649999999999999</v>
      </c>
      <c r="Q10" s="11">
        <f t="shared" si="12"/>
        <v>18</v>
      </c>
      <c r="R10" s="11">
        <f t="shared" si="13"/>
        <v>23.88</v>
      </c>
      <c r="S10" s="11">
        <f t="shared" si="14"/>
        <v>18</v>
      </c>
      <c r="T10" s="2">
        <f t="shared" si="15"/>
        <v>8.9</v>
      </c>
      <c r="U10" s="11">
        <f t="shared" si="16"/>
        <v>6</v>
      </c>
      <c r="V10" s="11">
        <f t="shared" si="17"/>
        <v>46.88</v>
      </c>
      <c r="W10" s="11">
        <f t="shared" si="18"/>
        <v>10</v>
      </c>
      <c r="X10" s="11">
        <f t="shared" si="19"/>
        <v>43.48</v>
      </c>
      <c r="Y10" s="11">
        <f t="shared" si="20"/>
        <v>17</v>
      </c>
      <c r="Z10" s="2">
        <f t="shared" si="21"/>
        <v>14.41</v>
      </c>
      <c r="AA10" s="11">
        <f t="shared" si="22"/>
        <v>3</v>
      </c>
      <c r="AB10" s="11">
        <f t="shared" si="23"/>
        <v>42.25</v>
      </c>
      <c r="AC10" s="11">
        <f t="shared" si="24"/>
        <v>23</v>
      </c>
      <c r="AD10" s="11">
        <f t="shared" si="25"/>
        <v>37.1</v>
      </c>
      <c r="AE10" s="11">
        <f t="shared" si="26"/>
        <v>29</v>
      </c>
      <c r="AF10" s="2">
        <f t="shared" si="27"/>
        <v>26.42</v>
      </c>
      <c r="AG10" s="11">
        <f t="shared" si="28"/>
        <v>3.4</v>
      </c>
      <c r="AH10" s="11">
        <f t="shared" si="29"/>
        <v>19.43</v>
      </c>
      <c r="AI10" s="11">
        <f t="shared" si="30"/>
        <v>8</v>
      </c>
      <c r="AJ10" s="11">
        <f t="shared" si="31"/>
        <v>13.33</v>
      </c>
      <c r="AK10" s="2">
        <f t="shared" si="32"/>
        <v>14.57</v>
      </c>
      <c r="AL10" s="2">
        <f t="shared" si="33"/>
        <v>54.15</v>
      </c>
      <c r="AM10" s="2">
        <f t="shared" si="34"/>
        <v>9.11</v>
      </c>
    </row>
    <row r="11" spans="1:44" x14ac:dyDescent="0.25">
      <c r="A11" s="13">
        <v>10</v>
      </c>
      <c r="B11" s="2" t="s">
        <v>119</v>
      </c>
      <c r="C11" s="2">
        <f t="shared" si="0"/>
        <v>10</v>
      </c>
      <c r="D11" s="2">
        <v>66</v>
      </c>
      <c r="E11" s="2">
        <f t="shared" si="1"/>
        <v>14.48</v>
      </c>
      <c r="F11" s="2">
        <v>18</v>
      </c>
      <c r="G11" s="2">
        <f t="shared" si="2"/>
        <v>4.83</v>
      </c>
      <c r="H11" s="2" t="b">
        <f t="shared" si="3"/>
        <v>0</v>
      </c>
      <c r="I11" s="41">
        <f t="shared" si="4"/>
        <v>79.3</v>
      </c>
      <c r="J11" s="41">
        <f t="shared" si="5"/>
        <v>71.7</v>
      </c>
      <c r="K11" s="41">
        <f t="shared" si="6"/>
        <v>90.2</v>
      </c>
      <c r="L11" s="41">
        <f t="shared" si="7"/>
        <v>98.8</v>
      </c>
      <c r="M11" s="11">
        <f t="shared" si="8"/>
        <v>26</v>
      </c>
      <c r="N11" s="2">
        <f t="shared" si="9"/>
        <v>13.89</v>
      </c>
      <c r="O11" s="11">
        <f t="shared" si="10"/>
        <v>9</v>
      </c>
      <c r="P11" s="11">
        <f t="shared" si="11"/>
        <v>19.440000000000001</v>
      </c>
      <c r="Q11" s="11">
        <f t="shared" si="12"/>
        <v>26</v>
      </c>
      <c r="R11" s="11">
        <f t="shared" si="13"/>
        <v>35.82</v>
      </c>
      <c r="S11" s="11">
        <f t="shared" si="14"/>
        <v>33</v>
      </c>
      <c r="T11" s="2">
        <f t="shared" si="15"/>
        <v>16.75</v>
      </c>
      <c r="U11" s="11">
        <f t="shared" si="16"/>
        <v>3.8</v>
      </c>
      <c r="V11" s="11">
        <f t="shared" si="17"/>
        <v>29.69</v>
      </c>
      <c r="W11" s="11">
        <f t="shared" si="18"/>
        <v>13</v>
      </c>
      <c r="X11" s="11">
        <f t="shared" si="19"/>
        <v>56.52</v>
      </c>
      <c r="Y11" s="11">
        <f t="shared" si="20"/>
        <v>7</v>
      </c>
      <c r="Z11" s="2">
        <f t="shared" si="21"/>
        <v>5.41</v>
      </c>
      <c r="AA11" s="11">
        <f t="shared" si="22"/>
        <v>4.3</v>
      </c>
      <c r="AB11" s="11">
        <f t="shared" si="23"/>
        <v>60.56</v>
      </c>
      <c r="AC11" s="11">
        <f t="shared" si="24"/>
        <v>22</v>
      </c>
      <c r="AD11" s="11">
        <f t="shared" si="25"/>
        <v>35.479999999999997</v>
      </c>
      <c r="AE11" s="11">
        <f t="shared" si="26"/>
        <v>1</v>
      </c>
      <c r="AF11" s="2">
        <f t="shared" si="27"/>
        <v>0</v>
      </c>
      <c r="AG11" s="11">
        <f t="shared" si="28"/>
        <v>17.5</v>
      </c>
      <c r="AH11" s="11">
        <f t="shared" si="29"/>
        <v>100</v>
      </c>
      <c r="AI11" s="11">
        <f t="shared" si="30"/>
        <v>26</v>
      </c>
      <c r="AJ11" s="11">
        <f t="shared" si="31"/>
        <v>43.33</v>
      </c>
      <c r="AK11" s="2">
        <f t="shared" si="32"/>
        <v>11.11</v>
      </c>
      <c r="AL11" s="2">
        <f t="shared" si="33"/>
        <v>61.31</v>
      </c>
      <c r="AM11" s="2">
        <f t="shared" si="34"/>
        <v>9.27</v>
      </c>
    </row>
    <row r="12" spans="1:44" x14ac:dyDescent="0.25">
      <c r="A12" s="13">
        <v>11</v>
      </c>
      <c r="B12" s="2" t="s">
        <v>122</v>
      </c>
      <c r="C12" s="2">
        <f t="shared" si="0"/>
        <v>11</v>
      </c>
      <c r="D12" s="2">
        <v>71</v>
      </c>
      <c r="E12" s="2">
        <f t="shared" si="1"/>
        <v>15.59</v>
      </c>
      <c r="F12" s="2">
        <v>28</v>
      </c>
      <c r="G12" s="2">
        <f t="shared" si="2"/>
        <v>7.67</v>
      </c>
      <c r="H12" s="2" t="b">
        <f t="shared" si="3"/>
        <v>0</v>
      </c>
      <c r="I12" s="41">
        <f t="shared" si="4"/>
        <v>75.3</v>
      </c>
      <c r="J12" s="41">
        <f t="shared" si="5"/>
        <v>73.900000000000006</v>
      </c>
      <c r="K12" s="41">
        <f t="shared" si="6"/>
        <v>90.6</v>
      </c>
      <c r="L12" s="41">
        <f t="shared" si="7"/>
        <v>94.7</v>
      </c>
      <c r="M12" s="11">
        <f t="shared" si="8"/>
        <v>18</v>
      </c>
      <c r="N12" s="2">
        <f t="shared" si="9"/>
        <v>9.44</v>
      </c>
      <c r="O12" s="11">
        <f t="shared" si="10"/>
        <v>10.9</v>
      </c>
      <c r="P12" s="11">
        <f t="shared" si="11"/>
        <v>23.54</v>
      </c>
      <c r="Q12" s="11">
        <f t="shared" si="12"/>
        <v>31</v>
      </c>
      <c r="R12" s="11">
        <f t="shared" si="13"/>
        <v>43.28</v>
      </c>
      <c r="S12" s="11">
        <f t="shared" si="14"/>
        <v>20</v>
      </c>
      <c r="T12" s="2">
        <f t="shared" si="15"/>
        <v>9.9499999999999993</v>
      </c>
      <c r="U12" s="11">
        <f t="shared" si="16"/>
        <v>5.6</v>
      </c>
      <c r="V12" s="11">
        <f t="shared" si="17"/>
        <v>43.75</v>
      </c>
      <c r="W12" s="11">
        <f t="shared" si="18"/>
        <v>16</v>
      </c>
      <c r="X12" s="11">
        <f t="shared" si="19"/>
        <v>69.569999999999993</v>
      </c>
      <c r="Y12" s="11">
        <f t="shared" si="20"/>
        <v>1</v>
      </c>
      <c r="Z12" s="2">
        <f t="shared" si="21"/>
        <v>0</v>
      </c>
      <c r="AA12" s="11">
        <f t="shared" si="22"/>
        <v>7.1</v>
      </c>
      <c r="AB12" s="11">
        <f t="shared" si="23"/>
        <v>100</v>
      </c>
      <c r="AC12" s="11">
        <f t="shared" si="24"/>
        <v>49</v>
      </c>
      <c r="AD12" s="11">
        <f t="shared" si="25"/>
        <v>79.03</v>
      </c>
      <c r="AE12" s="11">
        <f t="shared" si="26"/>
        <v>9</v>
      </c>
      <c r="AF12" s="2">
        <f t="shared" si="27"/>
        <v>7.55</v>
      </c>
      <c r="AG12" s="11">
        <f t="shared" si="28"/>
        <v>7.8</v>
      </c>
      <c r="AH12" s="11">
        <f t="shared" si="29"/>
        <v>44.57</v>
      </c>
      <c r="AI12" s="11">
        <f t="shared" si="30"/>
        <v>20</v>
      </c>
      <c r="AJ12" s="11">
        <f t="shared" si="31"/>
        <v>33.33</v>
      </c>
      <c r="AK12" s="2">
        <f t="shared" si="32"/>
        <v>7.84</v>
      </c>
      <c r="AL12" s="2">
        <f t="shared" si="33"/>
        <v>62.56</v>
      </c>
      <c r="AM12" s="2">
        <f t="shared" si="34"/>
        <v>9.32</v>
      </c>
    </row>
    <row r="13" spans="1:44" x14ac:dyDescent="0.25">
      <c r="A13" s="13">
        <v>12</v>
      </c>
      <c r="B13" s="2" t="s">
        <v>398</v>
      </c>
      <c r="C13" s="2">
        <f t="shared" si="0"/>
        <v>12</v>
      </c>
      <c r="D13" s="2">
        <v>32</v>
      </c>
      <c r="E13" s="2">
        <f t="shared" si="1"/>
        <v>6.9</v>
      </c>
      <c r="F13" s="2">
        <v>13</v>
      </c>
      <c r="G13" s="2">
        <f t="shared" si="2"/>
        <v>3.41</v>
      </c>
      <c r="H13" s="2" t="b">
        <f t="shared" si="3"/>
        <v>0</v>
      </c>
      <c r="I13" s="41">
        <f t="shared" si="4"/>
        <v>77.3</v>
      </c>
      <c r="J13" s="41">
        <f t="shared" si="5"/>
        <v>85.9</v>
      </c>
      <c r="K13" s="41">
        <f t="shared" si="6"/>
        <v>84.6</v>
      </c>
      <c r="L13" s="41">
        <f t="shared" si="7"/>
        <v>92.3</v>
      </c>
      <c r="M13" s="11">
        <f t="shared" si="8"/>
        <v>20</v>
      </c>
      <c r="N13" s="2">
        <f t="shared" si="9"/>
        <v>10.56</v>
      </c>
      <c r="O13" s="11">
        <f t="shared" si="10"/>
        <v>10.7</v>
      </c>
      <c r="P13" s="11">
        <f t="shared" si="11"/>
        <v>23.11</v>
      </c>
      <c r="Q13" s="11">
        <f t="shared" si="12"/>
        <v>18</v>
      </c>
      <c r="R13" s="11">
        <f t="shared" si="13"/>
        <v>23.88</v>
      </c>
      <c r="S13" s="11">
        <f t="shared" si="14"/>
        <v>9</v>
      </c>
      <c r="T13" s="2">
        <f t="shared" si="15"/>
        <v>4.1900000000000004</v>
      </c>
      <c r="U13" s="11">
        <f t="shared" si="16"/>
        <v>8</v>
      </c>
      <c r="V13" s="11">
        <f t="shared" si="17"/>
        <v>62.5</v>
      </c>
      <c r="W13" s="11">
        <f t="shared" si="18"/>
        <v>6</v>
      </c>
      <c r="X13" s="11">
        <f t="shared" si="19"/>
        <v>26.09</v>
      </c>
      <c r="Y13" s="11">
        <f t="shared" si="20"/>
        <v>22</v>
      </c>
      <c r="Z13" s="2">
        <f t="shared" si="21"/>
        <v>18.920000000000002</v>
      </c>
      <c r="AA13" s="11">
        <f t="shared" si="22"/>
        <v>2.7</v>
      </c>
      <c r="AB13" s="11">
        <f t="shared" si="23"/>
        <v>38.03</v>
      </c>
      <c r="AC13" s="11">
        <f t="shared" si="24"/>
        <v>16</v>
      </c>
      <c r="AD13" s="11">
        <f t="shared" si="25"/>
        <v>25.81</v>
      </c>
      <c r="AE13" s="11">
        <f t="shared" si="26"/>
        <v>58</v>
      </c>
      <c r="AF13" s="2">
        <f t="shared" si="27"/>
        <v>53.77</v>
      </c>
      <c r="AG13" s="11">
        <f t="shared" si="28"/>
        <v>1.9</v>
      </c>
      <c r="AH13" s="11">
        <f t="shared" si="29"/>
        <v>10.86</v>
      </c>
      <c r="AI13" s="11">
        <f t="shared" si="30"/>
        <v>5</v>
      </c>
      <c r="AJ13" s="11">
        <f t="shared" si="31"/>
        <v>8.33</v>
      </c>
      <c r="AK13" s="2">
        <f t="shared" si="32"/>
        <v>17.02</v>
      </c>
      <c r="AL13" s="2">
        <f t="shared" si="33"/>
        <v>54.83</v>
      </c>
      <c r="AM13" s="2">
        <f t="shared" si="34"/>
        <v>9.5500000000000007</v>
      </c>
    </row>
    <row r="14" spans="1:44" x14ac:dyDescent="0.25">
      <c r="A14" s="13">
        <v>13</v>
      </c>
      <c r="B14" s="2" t="s">
        <v>80</v>
      </c>
      <c r="C14" s="2">
        <f t="shared" si="0"/>
        <v>13</v>
      </c>
      <c r="D14" s="2">
        <v>19</v>
      </c>
      <c r="E14" s="2">
        <f t="shared" si="1"/>
        <v>4.01</v>
      </c>
      <c r="F14" s="2">
        <v>37</v>
      </c>
      <c r="G14" s="2">
        <f t="shared" si="2"/>
        <v>10.23</v>
      </c>
      <c r="H14" s="2" t="b">
        <f t="shared" si="3"/>
        <v>1</v>
      </c>
      <c r="I14" s="41">
        <f t="shared" si="4"/>
        <v>72.599999999999994</v>
      </c>
      <c r="J14" s="41">
        <f t="shared" si="5"/>
        <v>79</v>
      </c>
      <c r="K14" s="41">
        <f t="shared" si="6"/>
        <v>79.400000000000006</v>
      </c>
      <c r="L14" s="41">
        <f t="shared" si="7"/>
        <v>92.8</v>
      </c>
      <c r="M14" s="11">
        <f t="shared" si="8"/>
        <v>21</v>
      </c>
      <c r="N14" s="2">
        <f t="shared" si="9"/>
        <v>11.11</v>
      </c>
      <c r="O14" s="11">
        <f t="shared" si="10"/>
        <v>10.6</v>
      </c>
      <c r="P14" s="11">
        <f t="shared" si="11"/>
        <v>22.89</v>
      </c>
      <c r="Q14" s="11">
        <f t="shared" si="12"/>
        <v>22</v>
      </c>
      <c r="R14" s="11">
        <f t="shared" si="13"/>
        <v>29.85</v>
      </c>
      <c r="S14" s="11">
        <f t="shared" si="14"/>
        <v>28</v>
      </c>
      <c r="T14" s="2">
        <f t="shared" si="15"/>
        <v>14.14</v>
      </c>
      <c r="U14" s="11">
        <f t="shared" si="16"/>
        <v>4.3</v>
      </c>
      <c r="V14" s="11">
        <f t="shared" si="17"/>
        <v>33.590000000000003</v>
      </c>
      <c r="W14" s="11">
        <f t="shared" si="18"/>
        <v>13</v>
      </c>
      <c r="X14" s="11">
        <f t="shared" si="19"/>
        <v>56.52</v>
      </c>
      <c r="Y14" s="11">
        <f t="shared" si="20"/>
        <v>22</v>
      </c>
      <c r="Z14" s="2">
        <f t="shared" si="21"/>
        <v>18.920000000000002</v>
      </c>
      <c r="AA14" s="11">
        <f t="shared" si="22"/>
        <v>2.7</v>
      </c>
      <c r="AB14" s="11">
        <f t="shared" si="23"/>
        <v>38.03</v>
      </c>
      <c r="AC14" s="11">
        <f t="shared" si="24"/>
        <v>24</v>
      </c>
      <c r="AD14" s="11">
        <f t="shared" si="25"/>
        <v>38.71</v>
      </c>
      <c r="AE14" s="11">
        <f t="shared" si="26"/>
        <v>27</v>
      </c>
      <c r="AF14" s="2">
        <f t="shared" si="27"/>
        <v>24.53</v>
      </c>
      <c r="AG14" s="11">
        <f t="shared" si="28"/>
        <v>3.6</v>
      </c>
      <c r="AH14" s="11">
        <f t="shared" si="29"/>
        <v>20.57</v>
      </c>
      <c r="AI14" s="11">
        <f t="shared" si="30"/>
        <v>12</v>
      </c>
      <c r="AJ14" s="11">
        <f t="shared" si="31"/>
        <v>20</v>
      </c>
      <c r="AK14" s="2">
        <f t="shared" si="32"/>
        <v>14.9</v>
      </c>
      <c r="AL14" s="2">
        <f t="shared" si="33"/>
        <v>54.03</v>
      </c>
      <c r="AM14" s="2">
        <f t="shared" si="34"/>
        <v>10.85</v>
      </c>
    </row>
    <row r="15" spans="1:44" x14ac:dyDescent="0.25">
      <c r="A15" s="13">
        <v>14</v>
      </c>
      <c r="B15" s="2" t="s">
        <v>121</v>
      </c>
      <c r="C15" s="2">
        <f t="shared" si="0"/>
        <v>14</v>
      </c>
      <c r="D15" s="2">
        <v>63</v>
      </c>
      <c r="E15" s="2">
        <f t="shared" si="1"/>
        <v>13.81</v>
      </c>
      <c r="F15" s="2">
        <v>27</v>
      </c>
      <c r="G15" s="2">
        <f t="shared" si="2"/>
        <v>7.39</v>
      </c>
      <c r="H15" s="2" t="b">
        <f t="shared" si="3"/>
        <v>0</v>
      </c>
      <c r="I15" s="41">
        <f t="shared" si="4"/>
        <v>93</v>
      </c>
      <c r="J15" s="41">
        <f t="shared" si="5"/>
        <v>74.7</v>
      </c>
      <c r="K15" s="41">
        <f t="shared" si="6"/>
        <v>100</v>
      </c>
      <c r="L15" s="41">
        <f t="shared" si="7"/>
        <v>98.2</v>
      </c>
      <c r="M15" s="11">
        <f t="shared" si="8"/>
        <v>15</v>
      </c>
      <c r="N15" s="2">
        <f t="shared" si="9"/>
        <v>7.78</v>
      </c>
      <c r="O15" s="11">
        <f t="shared" si="10"/>
        <v>11.7</v>
      </c>
      <c r="P15" s="11">
        <f t="shared" si="11"/>
        <v>25.27</v>
      </c>
      <c r="Q15" s="11">
        <f t="shared" si="12"/>
        <v>17</v>
      </c>
      <c r="R15" s="11">
        <f t="shared" si="13"/>
        <v>22.39</v>
      </c>
      <c r="S15" s="11">
        <f t="shared" si="14"/>
        <v>9</v>
      </c>
      <c r="T15" s="2">
        <f t="shared" si="15"/>
        <v>4.1900000000000004</v>
      </c>
      <c r="U15" s="11">
        <f t="shared" si="16"/>
        <v>8</v>
      </c>
      <c r="V15" s="11">
        <f t="shared" si="17"/>
        <v>62.5</v>
      </c>
      <c r="W15" s="11">
        <f t="shared" si="18"/>
        <v>10</v>
      </c>
      <c r="X15" s="11">
        <f t="shared" si="19"/>
        <v>43.48</v>
      </c>
      <c r="Y15" s="11">
        <f t="shared" si="20"/>
        <v>20</v>
      </c>
      <c r="Z15" s="2">
        <f t="shared" si="21"/>
        <v>17.12</v>
      </c>
      <c r="AA15" s="11">
        <f t="shared" si="22"/>
        <v>2.8</v>
      </c>
      <c r="AB15" s="11">
        <f t="shared" si="23"/>
        <v>39.44</v>
      </c>
      <c r="AC15" s="11">
        <f t="shared" si="24"/>
        <v>20</v>
      </c>
      <c r="AD15" s="11">
        <f t="shared" si="25"/>
        <v>32.26</v>
      </c>
      <c r="AE15" s="11">
        <f t="shared" si="26"/>
        <v>58</v>
      </c>
      <c r="AF15" s="2">
        <f t="shared" si="27"/>
        <v>53.77</v>
      </c>
      <c r="AG15" s="11">
        <f t="shared" si="28"/>
        <v>1.9</v>
      </c>
      <c r="AH15" s="11">
        <f t="shared" si="29"/>
        <v>10.86</v>
      </c>
      <c r="AI15" s="11">
        <f t="shared" si="30"/>
        <v>4</v>
      </c>
      <c r="AJ15" s="11">
        <f t="shared" si="31"/>
        <v>6.67</v>
      </c>
      <c r="AK15" s="2">
        <f t="shared" si="32"/>
        <v>15.36</v>
      </c>
      <c r="AL15" s="2">
        <f t="shared" si="33"/>
        <v>61.25</v>
      </c>
      <c r="AM15" s="2">
        <f t="shared" si="34"/>
        <v>11.86</v>
      </c>
      <c r="AN15" s="6"/>
      <c r="AO15" s="6"/>
      <c r="AP15" s="6"/>
      <c r="AQ15" s="6"/>
      <c r="AR15" s="6"/>
    </row>
    <row r="16" spans="1:44" x14ac:dyDescent="0.25">
      <c r="A16" s="13">
        <v>15</v>
      </c>
      <c r="B16" s="2" t="s">
        <v>399</v>
      </c>
      <c r="C16" s="2">
        <f t="shared" si="0"/>
        <v>15</v>
      </c>
      <c r="D16" s="2">
        <v>41</v>
      </c>
      <c r="E16" s="2">
        <f t="shared" si="1"/>
        <v>8.91</v>
      </c>
      <c r="F16" s="2">
        <v>45</v>
      </c>
      <c r="G16" s="2">
        <f t="shared" si="2"/>
        <v>12.5</v>
      </c>
      <c r="H16" s="2" t="b">
        <f t="shared" si="3"/>
        <v>1</v>
      </c>
      <c r="I16" s="41">
        <f t="shared" si="4"/>
        <v>71.099999999999994</v>
      </c>
      <c r="J16" s="41">
        <f t="shared" si="5"/>
        <v>66.8</v>
      </c>
      <c r="K16" s="41">
        <f t="shared" si="6"/>
        <v>87.4</v>
      </c>
      <c r="L16" s="41">
        <f t="shared" si="7"/>
        <v>96.4</v>
      </c>
      <c r="M16" s="11">
        <f t="shared" si="8"/>
        <v>45</v>
      </c>
      <c r="N16" s="2">
        <f t="shared" si="9"/>
        <v>24.44</v>
      </c>
      <c r="O16" s="11">
        <f t="shared" si="10"/>
        <v>6</v>
      </c>
      <c r="P16" s="11">
        <f t="shared" si="11"/>
        <v>12.96</v>
      </c>
      <c r="Q16" s="11">
        <f t="shared" si="12"/>
        <v>19</v>
      </c>
      <c r="R16" s="11">
        <f t="shared" si="13"/>
        <v>25.37</v>
      </c>
      <c r="S16" s="11">
        <f t="shared" si="14"/>
        <v>11</v>
      </c>
      <c r="T16" s="2">
        <f t="shared" si="15"/>
        <v>5.24</v>
      </c>
      <c r="U16" s="11">
        <f t="shared" si="16"/>
        <v>7.5</v>
      </c>
      <c r="V16" s="11">
        <f t="shared" si="17"/>
        <v>58.59</v>
      </c>
      <c r="W16" s="11">
        <f t="shared" si="18"/>
        <v>9</v>
      </c>
      <c r="X16" s="11">
        <f t="shared" si="19"/>
        <v>39.130000000000003</v>
      </c>
      <c r="Y16" s="11">
        <f t="shared" si="20"/>
        <v>9</v>
      </c>
      <c r="Z16" s="2">
        <f t="shared" si="21"/>
        <v>7.21</v>
      </c>
      <c r="AA16" s="11">
        <f t="shared" si="22"/>
        <v>4.2</v>
      </c>
      <c r="AB16" s="11">
        <f t="shared" si="23"/>
        <v>59.15</v>
      </c>
      <c r="AC16" s="11">
        <f t="shared" si="24"/>
        <v>28</v>
      </c>
      <c r="AD16" s="11">
        <f t="shared" si="25"/>
        <v>45.16</v>
      </c>
      <c r="AE16" s="11">
        <f t="shared" si="26"/>
        <v>32</v>
      </c>
      <c r="AF16" s="2">
        <f t="shared" si="27"/>
        <v>29.25</v>
      </c>
      <c r="AG16" s="11">
        <f t="shared" si="28"/>
        <v>3.3</v>
      </c>
      <c r="AH16" s="11">
        <f t="shared" si="29"/>
        <v>18.86</v>
      </c>
      <c r="AI16" s="11">
        <f t="shared" si="30"/>
        <v>10</v>
      </c>
      <c r="AJ16" s="11">
        <f t="shared" si="31"/>
        <v>16.670000000000002</v>
      </c>
      <c r="AK16" s="2">
        <f t="shared" si="32"/>
        <v>18.739999999999998</v>
      </c>
      <c r="AL16" s="2">
        <f t="shared" si="33"/>
        <v>54.92</v>
      </c>
      <c r="AM16" s="2">
        <f t="shared" si="34"/>
        <v>14.28</v>
      </c>
      <c r="AN16" s="6"/>
      <c r="AO16" s="6"/>
      <c r="AP16" s="6"/>
      <c r="AQ16" s="6"/>
      <c r="AR16" s="6"/>
    </row>
    <row r="17" spans="1:44" x14ac:dyDescent="0.25">
      <c r="A17" s="13">
        <v>16</v>
      </c>
      <c r="B17" s="2" t="s">
        <v>117</v>
      </c>
      <c r="C17" s="2">
        <f t="shared" si="0"/>
        <v>16</v>
      </c>
      <c r="D17" s="2">
        <v>13</v>
      </c>
      <c r="E17" s="2">
        <f t="shared" si="1"/>
        <v>2.67</v>
      </c>
      <c r="F17" s="2">
        <v>8</v>
      </c>
      <c r="G17" s="2">
        <f t="shared" si="2"/>
        <v>1.99</v>
      </c>
      <c r="H17" s="2" t="b">
        <f t="shared" si="3"/>
        <v>0</v>
      </c>
      <c r="I17" s="41">
        <f t="shared" si="4"/>
        <v>81.8</v>
      </c>
      <c r="J17" s="41">
        <f t="shared" si="5"/>
        <v>83.5</v>
      </c>
      <c r="K17" s="41">
        <f t="shared" si="6"/>
        <v>90.6</v>
      </c>
      <c r="L17" s="41">
        <f t="shared" si="7"/>
        <v>99.5</v>
      </c>
      <c r="M17" s="11">
        <f t="shared" si="8"/>
        <v>89</v>
      </c>
      <c r="N17" s="2">
        <f t="shared" si="9"/>
        <v>48.89</v>
      </c>
      <c r="O17" s="11">
        <f t="shared" si="10"/>
        <v>4</v>
      </c>
      <c r="P17" s="11">
        <f t="shared" si="11"/>
        <v>8.64</v>
      </c>
      <c r="Q17" s="11">
        <f t="shared" si="12"/>
        <v>22</v>
      </c>
      <c r="R17" s="11">
        <f t="shared" si="13"/>
        <v>29.85</v>
      </c>
      <c r="S17" s="11">
        <f t="shared" si="14"/>
        <v>5</v>
      </c>
      <c r="T17" s="2">
        <f t="shared" si="15"/>
        <v>2.09</v>
      </c>
      <c r="U17" s="11">
        <f t="shared" si="16"/>
        <v>9.5</v>
      </c>
      <c r="V17" s="11">
        <f t="shared" si="17"/>
        <v>74.22</v>
      </c>
      <c r="W17" s="11">
        <f t="shared" si="18"/>
        <v>15</v>
      </c>
      <c r="X17" s="11">
        <f t="shared" si="19"/>
        <v>65.22</v>
      </c>
      <c r="Y17" s="11">
        <f t="shared" si="20"/>
        <v>13</v>
      </c>
      <c r="Z17" s="2">
        <f t="shared" si="21"/>
        <v>10.81</v>
      </c>
      <c r="AA17" s="11">
        <f t="shared" si="22"/>
        <v>3.4</v>
      </c>
      <c r="AB17" s="11">
        <f t="shared" si="23"/>
        <v>47.89</v>
      </c>
      <c r="AC17" s="11">
        <f t="shared" si="24"/>
        <v>22</v>
      </c>
      <c r="AD17" s="11">
        <f t="shared" si="25"/>
        <v>35.479999999999997</v>
      </c>
      <c r="AE17" s="11">
        <f t="shared" si="26"/>
        <v>68</v>
      </c>
      <c r="AF17" s="2">
        <f t="shared" si="27"/>
        <v>63.21</v>
      </c>
      <c r="AG17" s="11">
        <f t="shared" si="28"/>
        <v>1.6</v>
      </c>
      <c r="AH17" s="11">
        <f t="shared" si="29"/>
        <v>9.14</v>
      </c>
      <c r="AI17" s="11">
        <f t="shared" si="30"/>
        <v>5</v>
      </c>
      <c r="AJ17" s="11">
        <f t="shared" si="31"/>
        <v>8.33</v>
      </c>
      <c r="AK17" s="2">
        <f t="shared" si="32"/>
        <v>35.97</v>
      </c>
      <c r="AL17" s="2">
        <f t="shared" si="33"/>
        <v>57.43</v>
      </c>
      <c r="AM17" s="2">
        <f t="shared" si="34"/>
        <v>15.72</v>
      </c>
      <c r="AN17" s="6"/>
      <c r="AO17" s="6"/>
      <c r="AP17" s="6"/>
      <c r="AQ17" s="6"/>
      <c r="AR17" s="6"/>
    </row>
    <row r="18" spans="1:44" x14ac:dyDescent="0.25">
      <c r="A18" s="13">
        <v>17</v>
      </c>
      <c r="B18" s="2" t="s">
        <v>125</v>
      </c>
      <c r="C18" s="2">
        <f t="shared" si="0"/>
        <v>17</v>
      </c>
      <c r="D18" s="2">
        <v>115</v>
      </c>
      <c r="E18" s="2">
        <f t="shared" si="1"/>
        <v>25.39</v>
      </c>
      <c r="F18" s="2">
        <v>47</v>
      </c>
      <c r="G18" s="2">
        <f t="shared" si="2"/>
        <v>13.07</v>
      </c>
      <c r="H18" s="2" t="b">
        <f t="shared" si="3"/>
        <v>0</v>
      </c>
      <c r="I18" s="41">
        <f t="shared" si="4"/>
        <v>69.8</v>
      </c>
      <c r="J18" s="41">
        <f t="shared" si="5"/>
        <v>69.7</v>
      </c>
      <c r="K18" s="41">
        <f t="shared" si="6"/>
        <v>88.5</v>
      </c>
      <c r="L18" s="41">
        <f t="shared" si="7"/>
        <v>92.9</v>
      </c>
      <c r="M18" s="11">
        <f t="shared" si="8"/>
        <v>16</v>
      </c>
      <c r="N18" s="2">
        <f t="shared" si="9"/>
        <v>8.33</v>
      </c>
      <c r="O18" s="11">
        <f t="shared" si="10"/>
        <v>11.3</v>
      </c>
      <c r="P18" s="11">
        <f t="shared" si="11"/>
        <v>24.41</v>
      </c>
      <c r="Q18" s="11">
        <f t="shared" si="12"/>
        <v>24</v>
      </c>
      <c r="R18" s="11">
        <f t="shared" si="13"/>
        <v>32.840000000000003</v>
      </c>
      <c r="S18" s="11">
        <f t="shared" si="14"/>
        <v>36</v>
      </c>
      <c r="T18" s="2">
        <f t="shared" si="15"/>
        <v>18.32</v>
      </c>
      <c r="U18" s="11">
        <f t="shared" si="16"/>
        <v>3.7</v>
      </c>
      <c r="V18" s="11">
        <f t="shared" si="17"/>
        <v>28.91</v>
      </c>
      <c r="W18" s="11">
        <f t="shared" si="18"/>
        <v>8</v>
      </c>
      <c r="X18" s="11">
        <f t="shared" si="19"/>
        <v>34.78</v>
      </c>
      <c r="Y18" s="11">
        <f t="shared" si="20"/>
        <v>18</v>
      </c>
      <c r="Z18" s="2">
        <f t="shared" si="21"/>
        <v>15.32</v>
      </c>
      <c r="AA18" s="11">
        <f t="shared" si="22"/>
        <v>2.9</v>
      </c>
      <c r="AB18" s="11">
        <f t="shared" si="23"/>
        <v>40.85</v>
      </c>
      <c r="AC18" s="11">
        <f t="shared" si="24"/>
        <v>18</v>
      </c>
      <c r="AD18" s="11">
        <f t="shared" si="25"/>
        <v>29.03</v>
      </c>
      <c r="AE18" s="11">
        <f t="shared" si="26"/>
        <v>27</v>
      </c>
      <c r="AF18" s="2">
        <f t="shared" si="27"/>
        <v>24.53</v>
      </c>
      <c r="AG18" s="11">
        <f t="shared" si="28"/>
        <v>3.6</v>
      </c>
      <c r="AH18" s="11">
        <f t="shared" si="29"/>
        <v>20.57</v>
      </c>
      <c r="AI18" s="11">
        <f t="shared" si="30"/>
        <v>12</v>
      </c>
      <c r="AJ18" s="11">
        <f t="shared" si="31"/>
        <v>20</v>
      </c>
      <c r="AK18" s="2">
        <f t="shared" si="32"/>
        <v>13.81</v>
      </c>
      <c r="AL18" s="2">
        <f t="shared" si="33"/>
        <v>55.58</v>
      </c>
      <c r="AM18" s="2">
        <f t="shared" si="34"/>
        <v>15.83</v>
      </c>
      <c r="AN18" s="6"/>
      <c r="AO18" s="6"/>
      <c r="AP18" s="6"/>
      <c r="AQ18" s="6"/>
      <c r="AR18" s="6"/>
    </row>
    <row r="19" spans="1:44" x14ac:dyDescent="0.25">
      <c r="A19" s="13">
        <v>18</v>
      </c>
      <c r="B19" s="2" t="s">
        <v>19</v>
      </c>
      <c r="C19" s="2">
        <f t="shared" si="0"/>
        <v>18</v>
      </c>
      <c r="D19" s="2">
        <v>11</v>
      </c>
      <c r="E19" s="2">
        <f t="shared" si="1"/>
        <v>2.23</v>
      </c>
      <c r="F19" s="2">
        <v>10</v>
      </c>
      <c r="G19" s="2">
        <f t="shared" si="2"/>
        <v>2.56</v>
      </c>
      <c r="H19" s="2" t="b">
        <f t="shared" si="3"/>
        <v>0</v>
      </c>
      <c r="I19" s="41">
        <f t="shared" si="4"/>
        <v>77.400000000000006</v>
      </c>
      <c r="J19" s="41">
        <f t="shared" si="5"/>
        <v>89.8</v>
      </c>
      <c r="K19" s="41">
        <f t="shared" si="6"/>
        <v>85.1</v>
      </c>
      <c r="L19" s="41">
        <f t="shared" si="7"/>
        <v>89.5</v>
      </c>
      <c r="M19" s="11">
        <f t="shared" si="8"/>
        <v>10</v>
      </c>
      <c r="N19" s="2">
        <f t="shared" si="9"/>
        <v>5</v>
      </c>
      <c r="O19" s="11">
        <f t="shared" si="10"/>
        <v>13.9</v>
      </c>
      <c r="P19" s="11">
        <f t="shared" si="11"/>
        <v>30.02</v>
      </c>
      <c r="Q19" s="11">
        <f t="shared" si="12"/>
        <v>33</v>
      </c>
      <c r="R19" s="11">
        <f t="shared" si="13"/>
        <v>46.27</v>
      </c>
      <c r="S19" s="11">
        <f t="shared" si="14"/>
        <v>46</v>
      </c>
      <c r="T19" s="2">
        <f t="shared" si="15"/>
        <v>23.56</v>
      </c>
      <c r="U19" s="11">
        <f t="shared" si="16"/>
        <v>3.1</v>
      </c>
      <c r="V19" s="11">
        <f t="shared" si="17"/>
        <v>24.22</v>
      </c>
      <c r="W19" s="11">
        <f t="shared" si="18"/>
        <v>10</v>
      </c>
      <c r="X19" s="11">
        <f t="shared" si="19"/>
        <v>43.48</v>
      </c>
      <c r="Y19" s="11">
        <v>112</v>
      </c>
      <c r="Z19" s="2">
        <f t="shared" si="21"/>
        <v>100</v>
      </c>
      <c r="AA19" s="11">
        <v>0</v>
      </c>
      <c r="AB19" s="11">
        <f t="shared" si="23"/>
        <v>0</v>
      </c>
      <c r="AC19" s="11">
        <v>0</v>
      </c>
      <c r="AD19" s="11">
        <f t="shared" si="25"/>
        <v>0</v>
      </c>
      <c r="AE19" s="11">
        <v>107</v>
      </c>
      <c r="AF19" s="2">
        <f t="shared" si="27"/>
        <v>100</v>
      </c>
      <c r="AG19" s="11">
        <v>0</v>
      </c>
      <c r="AH19" s="11">
        <f t="shared" si="29"/>
        <v>0</v>
      </c>
      <c r="AI19" s="11">
        <v>0</v>
      </c>
      <c r="AJ19" s="11">
        <f t="shared" si="31"/>
        <v>0</v>
      </c>
      <c r="AK19" s="2">
        <f t="shared" si="32"/>
        <v>37.21</v>
      </c>
      <c r="AL19" s="2">
        <f t="shared" si="33"/>
        <v>55.83</v>
      </c>
      <c r="AM19" s="2">
        <f t="shared" si="34"/>
        <v>16.350000000000001</v>
      </c>
      <c r="AN19" s="6"/>
      <c r="AO19" s="6"/>
      <c r="AP19" s="6"/>
      <c r="AQ19" s="6"/>
      <c r="AR19" s="6"/>
    </row>
    <row r="20" spans="1:44" x14ac:dyDescent="0.25">
      <c r="A20" s="13">
        <v>19</v>
      </c>
      <c r="B20" s="2" t="s">
        <v>43</v>
      </c>
      <c r="C20" s="2">
        <f t="shared" si="0"/>
        <v>19</v>
      </c>
      <c r="D20" s="2">
        <v>5</v>
      </c>
      <c r="E20" s="2">
        <f t="shared" si="1"/>
        <v>0.89</v>
      </c>
      <c r="F20" s="2">
        <v>7</v>
      </c>
      <c r="G20" s="2">
        <f t="shared" si="2"/>
        <v>1.7</v>
      </c>
      <c r="H20" s="2" t="b">
        <f t="shared" si="3"/>
        <v>1</v>
      </c>
      <c r="I20" s="41">
        <f t="shared" si="4"/>
        <v>81</v>
      </c>
      <c r="J20" s="41">
        <f t="shared" si="5"/>
        <v>97.3</v>
      </c>
      <c r="K20" s="41">
        <f t="shared" si="6"/>
        <v>81.2</v>
      </c>
      <c r="L20" s="41">
        <f t="shared" si="7"/>
        <v>91.9</v>
      </c>
      <c r="M20" s="11">
        <f t="shared" si="8"/>
        <v>33</v>
      </c>
      <c r="N20" s="2">
        <f t="shared" si="9"/>
        <v>17.78</v>
      </c>
      <c r="O20" s="11">
        <f t="shared" si="10"/>
        <v>8</v>
      </c>
      <c r="P20" s="11">
        <f t="shared" si="11"/>
        <v>17.28</v>
      </c>
      <c r="Q20" s="11">
        <f t="shared" si="12"/>
        <v>25</v>
      </c>
      <c r="R20" s="11">
        <f t="shared" si="13"/>
        <v>34.33</v>
      </c>
      <c r="S20" s="11">
        <f t="shared" si="14"/>
        <v>15</v>
      </c>
      <c r="T20" s="2">
        <f t="shared" si="15"/>
        <v>7.33</v>
      </c>
      <c r="U20" s="11">
        <f t="shared" si="16"/>
        <v>6.1</v>
      </c>
      <c r="V20" s="11">
        <f t="shared" si="17"/>
        <v>47.66</v>
      </c>
      <c r="W20" s="11">
        <f t="shared" si="18"/>
        <v>23</v>
      </c>
      <c r="X20" s="11">
        <f t="shared" si="19"/>
        <v>100</v>
      </c>
      <c r="Y20" s="11">
        <v>112</v>
      </c>
      <c r="Z20" s="2">
        <f t="shared" si="21"/>
        <v>100</v>
      </c>
      <c r="AA20" s="11">
        <v>0</v>
      </c>
      <c r="AB20" s="11">
        <f t="shared" si="23"/>
        <v>0</v>
      </c>
      <c r="AC20" s="11">
        <v>0</v>
      </c>
      <c r="AD20" s="11">
        <f t="shared" si="25"/>
        <v>0</v>
      </c>
      <c r="AE20" s="11">
        <v>107</v>
      </c>
      <c r="AF20" s="2">
        <f t="shared" si="27"/>
        <v>100</v>
      </c>
      <c r="AG20" s="11">
        <v>0</v>
      </c>
      <c r="AH20" s="11">
        <f t="shared" si="29"/>
        <v>0</v>
      </c>
      <c r="AI20" s="11">
        <v>0</v>
      </c>
      <c r="AJ20" s="11">
        <f t="shared" si="31"/>
        <v>0</v>
      </c>
      <c r="AK20" s="2">
        <f t="shared" si="32"/>
        <v>40.36</v>
      </c>
      <c r="AL20" s="2">
        <f t="shared" si="33"/>
        <v>52.84</v>
      </c>
      <c r="AM20" s="2">
        <f t="shared" si="34"/>
        <v>17</v>
      </c>
      <c r="AN20" s="6"/>
      <c r="AO20" s="6"/>
      <c r="AP20" s="6"/>
      <c r="AQ20" s="6"/>
      <c r="AR20" s="6"/>
    </row>
    <row r="21" spans="1:44" x14ac:dyDescent="0.25">
      <c r="A21" s="13">
        <v>20</v>
      </c>
      <c r="B21" s="2" t="s">
        <v>11</v>
      </c>
      <c r="C21" s="2">
        <f t="shared" si="0"/>
        <v>20</v>
      </c>
      <c r="D21" s="2">
        <v>43</v>
      </c>
      <c r="E21" s="2">
        <f t="shared" si="1"/>
        <v>9.35</v>
      </c>
      <c r="F21" s="2">
        <v>33</v>
      </c>
      <c r="G21" s="2">
        <f t="shared" si="2"/>
        <v>9.09</v>
      </c>
      <c r="H21" s="2" t="b">
        <f t="shared" si="3"/>
        <v>0</v>
      </c>
      <c r="I21" s="41">
        <f t="shared" si="4"/>
        <v>75</v>
      </c>
      <c r="J21" s="41">
        <f t="shared" si="5"/>
        <v>76.099999999999994</v>
      </c>
      <c r="K21" s="41">
        <f t="shared" si="6"/>
        <v>81.7</v>
      </c>
      <c r="L21" s="41">
        <f t="shared" si="7"/>
        <v>96.6</v>
      </c>
      <c r="M21" s="11">
        <f t="shared" si="8"/>
        <v>75</v>
      </c>
      <c r="N21" s="2">
        <f t="shared" si="9"/>
        <v>41.11</v>
      </c>
      <c r="O21" s="11">
        <f t="shared" si="10"/>
        <v>4.5999999999999996</v>
      </c>
      <c r="P21" s="11">
        <f t="shared" si="11"/>
        <v>9.94</v>
      </c>
      <c r="Q21" s="11">
        <f t="shared" si="12"/>
        <v>17</v>
      </c>
      <c r="R21" s="11">
        <f t="shared" si="13"/>
        <v>22.39</v>
      </c>
      <c r="S21" s="11">
        <f t="shared" si="14"/>
        <v>13</v>
      </c>
      <c r="T21" s="2">
        <f t="shared" si="15"/>
        <v>6.28</v>
      </c>
      <c r="U21" s="11">
        <f t="shared" si="16"/>
        <v>7.3</v>
      </c>
      <c r="V21" s="11">
        <f t="shared" si="17"/>
        <v>57.03</v>
      </c>
      <c r="W21" s="11">
        <f t="shared" si="18"/>
        <v>10</v>
      </c>
      <c r="X21" s="11">
        <f t="shared" si="19"/>
        <v>43.48</v>
      </c>
      <c r="Y21" s="11">
        <f>VLOOKUP(B21,Systems_Rank,2,FALSE)</f>
        <v>30</v>
      </c>
      <c r="Z21" s="2">
        <f t="shared" si="21"/>
        <v>26.13</v>
      </c>
      <c r="AA21" s="11">
        <f>VLOOKUP(B21,Systems_Rank,3,FALSE)</f>
        <v>2.1</v>
      </c>
      <c r="AB21" s="11">
        <f t="shared" si="23"/>
        <v>29.58</v>
      </c>
      <c r="AC21" s="11">
        <f>VLOOKUP(B21,Systems_Rank,4,FALSE)</f>
        <v>18</v>
      </c>
      <c r="AD21" s="11">
        <f t="shared" si="25"/>
        <v>29.03</v>
      </c>
      <c r="AE21" s="11">
        <f>VLOOKUP(B21,InterD_Rank,2,FALSE)</f>
        <v>29</v>
      </c>
      <c r="AF21" s="2">
        <f t="shared" si="27"/>
        <v>26.42</v>
      </c>
      <c r="AG21" s="11">
        <f>VLOOKUP(B21,InterD_Rank,3,FALSE)</f>
        <v>3.4</v>
      </c>
      <c r="AH21" s="11">
        <f t="shared" si="29"/>
        <v>19.43</v>
      </c>
      <c r="AI21" s="11">
        <f>VLOOKUP(B21,InterD_Rank,4,FALSE)</f>
        <v>9</v>
      </c>
      <c r="AJ21" s="11">
        <f t="shared" si="31"/>
        <v>15</v>
      </c>
      <c r="AK21" s="2">
        <f t="shared" si="32"/>
        <v>29.69</v>
      </c>
      <c r="AL21" s="2">
        <f t="shared" si="33"/>
        <v>52.56</v>
      </c>
      <c r="AM21" s="2">
        <f t="shared" si="34"/>
        <v>17.38</v>
      </c>
    </row>
    <row r="22" spans="1:44" x14ac:dyDescent="0.25">
      <c r="A22" s="13">
        <v>21</v>
      </c>
      <c r="B22" s="2" t="s">
        <v>410</v>
      </c>
      <c r="C22" s="2">
        <f t="shared" si="0"/>
        <v>21</v>
      </c>
      <c r="D22" s="2">
        <v>7</v>
      </c>
      <c r="E22" s="2">
        <f t="shared" si="1"/>
        <v>1.34</v>
      </c>
      <c r="F22" s="2">
        <v>9</v>
      </c>
      <c r="G22" s="2">
        <f t="shared" si="2"/>
        <v>2.27</v>
      </c>
      <c r="H22" s="2" t="b">
        <f t="shared" si="3"/>
        <v>1</v>
      </c>
      <c r="I22" s="41">
        <f t="shared" si="4"/>
        <v>81</v>
      </c>
      <c r="J22" s="41">
        <f t="shared" si="5"/>
        <v>81.3</v>
      </c>
      <c r="K22" s="41">
        <f t="shared" si="6"/>
        <v>92</v>
      </c>
      <c r="L22" s="41">
        <f t="shared" si="7"/>
        <v>94.3</v>
      </c>
      <c r="M22" s="11">
        <f t="shared" si="8"/>
        <v>36</v>
      </c>
      <c r="N22" s="2">
        <f t="shared" si="9"/>
        <v>19.440000000000001</v>
      </c>
      <c r="O22" s="11">
        <f t="shared" si="10"/>
        <v>7.1</v>
      </c>
      <c r="P22" s="11">
        <f t="shared" si="11"/>
        <v>15.33</v>
      </c>
      <c r="Q22" s="11">
        <f t="shared" si="12"/>
        <v>16</v>
      </c>
      <c r="R22" s="11">
        <f t="shared" si="13"/>
        <v>20.9</v>
      </c>
      <c r="S22" s="11">
        <f t="shared" si="14"/>
        <v>19</v>
      </c>
      <c r="T22" s="2">
        <f t="shared" si="15"/>
        <v>9.42</v>
      </c>
      <c r="U22" s="11">
        <f t="shared" si="16"/>
        <v>5.9</v>
      </c>
      <c r="V22" s="11">
        <f t="shared" si="17"/>
        <v>46.09</v>
      </c>
      <c r="W22" s="11">
        <f t="shared" si="18"/>
        <v>9</v>
      </c>
      <c r="X22" s="11">
        <f t="shared" si="19"/>
        <v>39.130000000000003</v>
      </c>
      <c r="Y22" s="11">
        <v>112</v>
      </c>
      <c r="Z22" s="2">
        <f t="shared" si="21"/>
        <v>100</v>
      </c>
      <c r="AA22" s="11">
        <v>0</v>
      </c>
      <c r="AB22" s="11">
        <f t="shared" si="23"/>
        <v>0</v>
      </c>
      <c r="AC22" s="11">
        <v>0</v>
      </c>
      <c r="AD22" s="11">
        <f t="shared" si="25"/>
        <v>0</v>
      </c>
      <c r="AE22" s="11">
        <v>107</v>
      </c>
      <c r="AF22" s="2">
        <f t="shared" si="27"/>
        <v>100</v>
      </c>
      <c r="AG22" s="11"/>
      <c r="AH22" s="11">
        <f t="shared" si="29"/>
        <v>0</v>
      </c>
      <c r="AI22" s="11"/>
      <c r="AJ22" s="11">
        <f t="shared" si="31"/>
        <v>0</v>
      </c>
      <c r="AK22" s="2">
        <f t="shared" si="32"/>
        <v>41.6</v>
      </c>
      <c r="AL22" s="2">
        <f t="shared" si="33"/>
        <v>52.76</v>
      </c>
      <c r="AM22" s="2">
        <f t="shared" si="34"/>
        <v>17.82</v>
      </c>
    </row>
    <row r="23" spans="1:44" x14ac:dyDescent="0.25">
      <c r="A23" s="13">
        <v>22</v>
      </c>
      <c r="B23" s="2" t="s">
        <v>400</v>
      </c>
      <c r="C23" s="2">
        <f t="shared" si="0"/>
        <v>22</v>
      </c>
      <c r="D23" s="2">
        <v>126</v>
      </c>
      <c r="E23" s="2">
        <f t="shared" si="1"/>
        <v>27.84</v>
      </c>
      <c r="F23" s="2">
        <v>75</v>
      </c>
      <c r="G23" s="2">
        <f t="shared" si="2"/>
        <v>21.02</v>
      </c>
      <c r="H23" s="2" t="b">
        <f t="shared" si="3"/>
        <v>0</v>
      </c>
      <c r="I23" s="41">
        <f t="shared" si="4"/>
        <v>74</v>
      </c>
      <c r="J23" s="41">
        <f t="shared" si="5"/>
        <v>59.2</v>
      </c>
      <c r="K23" s="41">
        <f t="shared" si="6"/>
        <v>85.6</v>
      </c>
      <c r="L23" s="41">
        <f t="shared" si="7"/>
        <v>91.7</v>
      </c>
      <c r="M23" s="11">
        <f t="shared" si="8"/>
        <v>13</v>
      </c>
      <c r="N23" s="2">
        <f t="shared" si="9"/>
        <v>6.67</v>
      </c>
      <c r="O23" s="11">
        <f t="shared" si="10"/>
        <v>12.4</v>
      </c>
      <c r="P23" s="11">
        <f t="shared" si="11"/>
        <v>26.78</v>
      </c>
      <c r="Q23" s="11">
        <f t="shared" si="12"/>
        <v>25</v>
      </c>
      <c r="R23" s="11">
        <f t="shared" si="13"/>
        <v>34.33</v>
      </c>
      <c r="S23" s="11">
        <f t="shared" si="14"/>
        <v>33</v>
      </c>
      <c r="T23" s="2">
        <f t="shared" si="15"/>
        <v>16.75</v>
      </c>
      <c r="U23" s="11">
        <f t="shared" si="16"/>
        <v>3.8</v>
      </c>
      <c r="V23" s="11">
        <f t="shared" si="17"/>
        <v>29.69</v>
      </c>
      <c r="W23" s="11">
        <f t="shared" si="18"/>
        <v>8</v>
      </c>
      <c r="X23" s="11">
        <f t="shared" si="19"/>
        <v>34.78</v>
      </c>
      <c r="Y23" s="11">
        <f>VLOOKUP(B23,Systems_Rank,2,FALSE)</f>
        <v>27</v>
      </c>
      <c r="Z23" s="2">
        <f t="shared" si="21"/>
        <v>23.42</v>
      </c>
      <c r="AA23" s="11">
        <f>VLOOKUP(B23,Systems_Rank,3,FALSE)</f>
        <v>2.4</v>
      </c>
      <c r="AB23" s="11">
        <f t="shared" si="23"/>
        <v>33.799999999999997</v>
      </c>
      <c r="AC23" s="11">
        <f>VLOOKUP(B23,Systems_Rank,4,FALSE)</f>
        <v>17</v>
      </c>
      <c r="AD23" s="11">
        <f t="shared" si="25"/>
        <v>27.42</v>
      </c>
      <c r="AE23" s="11">
        <f>VLOOKUP(B23,InterD_Rank,2,FALSE)</f>
        <v>9</v>
      </c>
      <c r="AF23" s="2">
        <f t="shared" si="27"/>
        <v>7.55</v>
      </c>
      <c r="AG23" s="11">
        <f>VLOOKUP(B23,InterD_Rank,3,FALSE)</f>
        <v>7.8</v>
      </c>
      <c r="AH23" s="11">
        <f t="shared" si="29"/>
        <v>44.57</v>
      </c>
      <c r="AI23" s="11">
        <f>VLOOKUP(B23,InterD_Rank,4,FALSE)</f>
        <v>15</v>
      </c>
      <c r="AJ23" s="11">
        <f t="shared" si="31"/>
        <v>25</v>
      </c>
      <c r="AK23" s="2">
        <f t="shared" si="32"/>
        <v>11.33</v>
      </c>
      <c r="AL23" s="2">
        <f t="shared" si="33"/>
        <v>56.64</v>
      </c>
      <c r="AM23" s="2">
        <f t="shared" si="34"/>
        <v>18.510000000000002</v>
      </c>
    </row>
    <row r="24" spans="1:44" x14ac:dyDescent="0.25">
      <c r="A24" s="13">
        <v>23</v>
      </c>
      <c r="B24" s="2" t="s">
        <v>395</v>
      </c>
      <c r="C24" s="2">
        <f t="shared" si="0"/>
        <v>23</v>
      </c>
      <c r="D24" s="2">
        <v>53</v>
      </c>
      <c r="E24" s="2">
        <f t="shared" si="1"/>
        <v>11.58</v>
      </c>
      <c r="F24" s="2">
        <v>75</v>
      </c>
      <c r="G24" s="2">
        <f t="shared" si="2"/>
        <v>21.02</v>
      </c>
      <c r="H24" s="2" t="b">
        <f t="shared" si="3"/>
        <v>1</v>
      </c>
      <c r="I24" s="41">
        <f t="shared" si="4"/>
        <v>58.8</v>
      </c>
      <c r="J24" s="41">
        <f t="shared" si="5"/>
        <v>69.099999999999994</v>
      </c>
      <c r="K24" s="41">
        <f t="shared" si="6"/>
        <v>86.8</v>
      </c>
      <c r="L24" s="41">
        <f t="shared" si="7"/>
        <v>98.7</v>
      </c>
      <c r="M24" s="11">
        <f t="shared" si="8"/>
        <v>59</v>
      </c>
      <c r="N24" s="2">
        <f t="shared" si="9"/>
        <v>32.22</v>
      </c>
      <c r="O24" s="11">
        <f t="shared" si="10"/>
        <v>5.3</v>
      </c>
      <c r="P24" s="11">
        <f t="shared" si="11"/>
        <v>11.45</v>
      </c>
      <c r="Q24" s="11">
        <f t="shared" si="12"/>
        <v>20</v>
      </c>
      <c r="R24" s="11">
        <f t="shared" si="13"/>
        <v>26.87</v>
      </c>
      <c r="S24" s="11">
        <f t="shared" si="14"/>
        <v>24</v>
      </c>
      <c r="T24" s="2">
        <f t="shared" si="15"/>
        <v>12.04</v>
      </c>
      <c r="U24" s="11">
        <f t="shared" si="16"/>
        <v>4.8</v>
      </c>
      <c r="V24" s="11">
        <f t="shared" si="17"/>
        <v>37.5</v>
      </c>
      <c r="W24" s="11">
        <f t="shared" si="18"/>
        <v>9</v>
      </c>
      <c r="X24" s="11">
        <f t="shared" si="19"/>
        <v>39.130000000000003</v>
      </c>
      <c r="Y24" s="11">
        <f>VLOOKUP(B24,Systems_Rank,2,FALSE)</f>
        <v>6</v>
      </c>
      <c r="Z24" s="2">
        <f t="shared" si="21"/>
        <v>4.5</v>
      </c>
      <c r="AA24" s="11">
        <f>VLOOKUP(B24,Systems_Rank,3,FALSE)</f>
        <v>4.5</v>
      </c>
      <c r="AB24" s="11">
        <f t="shared" si="23"/>
        <v>63.38</v>
      </c>
      <c r="AC24" s="11">
        <f>VLOOKUP(B24,Systems_Rank,4,FALSE)</f>
        <v>27</v>
      </c>
      <c r="AD24" s="11">
        <f t="shared" si="25"/>
        <v>43.55</v>
      </c>
      <c r="AE24" s="11">
        <f>VLOOKUP(B24,InterD_Rank,2,FALSE)</f>
        <v>16</v>
      </c>
      <c r="AF24" s="2">
        <f t="shared" si="27"/>
        <v>14.15</v>
      </c>
      <c r="AG24" s="11">
        <f>VLOOKUP(B24,InterD_Rank,3,FALSE)</f>
        <v>4.7</v>
      </c>
      <c r="AH24" s="11">
        <f t="shared" si="29"/>
        <v>26.86</v>
      </c>
      <c r="AI24" s="11">
        <f>VLOOKUP(B24,InterD_Rank,4,FALSE)</f>
        <v>3</v>
      </c>
      <c r="AJ24" s="11">
        <f t="shared" si="31"/>
        <v>5</v>
      </c>
      <c r="AK24" s="2">
        <f t="shared" si="32"/>
        <v>21.32</v>
      </c>
      <c r="AL24" s="2">
        <f t="shared" si="33"/>
        <v>52.41</v>
      </c>
      <c r="AM24" s="2">
        <f t="shared" si="34"/>
        <v>19.25</v>
      </c>
    </row>
    <row r="25" spans="1:44" x14ac:dyDescent="0.25">
      <c r="A25" s="13">
        <v>24</v>
      </c>
      <c r="B25" s="2" t="s">
        <v>44</v>
      </c>
      <c r="C25" s="2">
        <f t="shared" si="0"/>
        <v>24</v>
      </c>
      <c r="D25" s="2">
        <v>8</v>
      </c>
      <c r="E25" s="2">
        <f t="shared" si="1"/>
        <v>1.56</v>
      </c>
      <c r="F25" s="2">
        <v>12</v>
      </c>
      <c r="G25" s="2">
        <f t="shared" si="2"/>
        <v>3.13</v>
      </c>
      <c r="H25" s="2" t="b">
        <f t="shared" si="3"/>
        <v>1</v>
      </c>
      <c r="I25" s="41">
        <f t="shared" si="4"/>
        <v>78.2</v>
      </c>
      <c r="J25" s="41">
        <f t="shared" si="5"/>
        <v>88.9</v>
      </c>
      <c r="K25" s="41">
        <f t="shared" si="6"/>
        <v>81.7</v>
      </c>
      <c r="L25" s="41">
        <f t="shared" si="7"/>
        <v>90.1</v>
      </c>
      <c r="M25" s="11">
        <f t="shared" si="8"/>
        <v>45</v>
      </c>
      <c r="N25" s="2">
        <f t="shared" si="9"/>
        <v>24.44</v>
      </c>
      <c r="O25" s="11">
        <f t="shared" si="10"/>
        <v>6</v>
      </c>
      <c r="P25" s="11">
        <f t="shared" si="11"/>
        <v>12.96</v>
      </c>
      <c r="Q25" s="11">
        <f t="shared" si="12"/>
        <v>20</v>
      </c>
      <c r="R25" s="11">
        <f t="shared" si="13"/>
        <v>26.87</v>
      </c>
      <c r="S25" s="11">
        <f t="shared" si="14"/>
        <v>70</v>
      </c>
      <c r="T25" s="2">
        <f t="shared" si="15"/>
        <v>36.130000000000003</v>
      </c>
      <c r="U25" s="11">
        <f t="shared" si="16"/>
        <v>2.4</v>
      </c>
      <c r="V25" s="11">
        <f t="shared" si="17"/>
        <v>18.75</v>
      </c>
      <c r="W25" s="11">
        <f t="shared" si="18"/>
        <v>6</v>
      </c>
      <c r="X25" s="11">
        <f t="shared" si="19"/>
        <v>26.09</v>
      </c>
      <c r="Y25" s="11">
        <v>112</v>
      </c>
      <c r="Z25" s="2">
        <f t="shared" si="21"/>
        <v>100</v>
      </c>
      <c r="AA25" s="11">
        <v>0</v>
      </c>
      <c r="AB25" s="11">
        <f t="shared" si="23"/>
        <v>0</v>
      </c>
      <c r="AC25" s="11">
        <v>0</v>
      </c>
      <c r="AD25" s="11">
        <f t="shared" si="25"/>
        <v>0</v>
      </c>
      <c r="AE25" s="11">
        <v>107</v>
      </c>
      <c r="AF25" s="2">
        <f t="shared" si="27"/>
        <v>100</v>
      </c>
      <c r="AG25" s="11">
        <v>0</v>
      </c>
      <c r="AH25" s="11">
        <f t="shared" si="29"/>
        <v>0</v>
      </c>
      <c r="AI25" s="11">
        <v>0</v>
      </c>
      <c r="AJ25" s="11">
        <f t="shared" si="31"/>
        <v>0</v>
      </c>
      <c r="AK25" s="2">
        <f t="shared" si="32"/>
        <v>49.45</v>
      </c>
      <c r="AL25" s="2">
        <f t="shared" si="33"/>
        <v>50.39</v>
      </c>
      <c r="AM25" s="2">
        <f t="shared" si="34"/>
        <v>21.34</v>
      </c>
    </row>
    <row r="26" spans="1:44" x14ac:dyDescent="0.25">
      <c r="A26" s="13">
        <v>25</v>
      </c>
      <c r="B26" s="2" t="s">
        <v>47</v>
      </c>
      <c r="C26" s="2">
        <f t="shared" si="0"/>
        <v>25</v>
      </c>
      <c r="D26" s="2">
        <v>12</v>
      </c>
      <c r="E26" s="2">
        <f t="shared" si="1"/>
        <v>2.4500000000000002</v>
      </c>
      <c r="F26" s="2">
        <v>16</v>
      </c>
      <c r="G26" s="2">
        <f t="shared" si="2"/>
        <v>4.26</v>
      </c>
      <c r="H26" s="2" t="b">
        <f t="shared" si="3"/>
        <v>1</v>
      </c>
      <c r="I26" s="41">
        <f t="shared" si="4"/>
        <v>73.400000000000006</v>
      </c>
      <c r="J26" s="41">
        <f t="shared" si="5"/>
        <v>85.1</v>
      </c>
      <c r="K26" s="41">
        <f t="shared" si="6"/>
        <v>89.8</v>
      </c>
      <c r="L26" s="41">
        <f t="shared" si="7"/>
        <v>91.6</v>
      </c>
      <c r="M26" s="11">
        <f t="shared" si="8"/>
        <v>19</v>
      </c>
      <c r="N26" s="2">
        <f t="shared" si="9"/>
        <v>10</v>
      </c>
      <c r="O26" s="11">
        <f t="shared" si="10"/>
        <v>10.8</v>
      </c>
      <c r="P26" s="11">
        <f t="shared" si="11"/>
        <v>23.33</v>
      </c>
      <c r="Q26" s="11">
        <f t="shared" si="12"/>
        <v>29</v>
      </c>
      <c r="R26" s="11">
        <f t="shared" si="13"/>
        <v>40.299999999999997</v>
      </c>
      <c r="S26" s="11">
        <f t="shared" si="14"/>
        <v>126</v>
      </c>
      <c r="T26" s="2">
        <f t="shared" si="15"/>
        <v>65.45</v>
      </c>
      <c r="U26" s="11">
        <f t="shared" si="16"/>
        <v>1.4</v>
      </c>
      <c r="V26" s="11">
        <f t="shared" si="17"/>
        <v>10.94</v>
      </c>
      <c r="W26" s="11">
        <f t="shared" si="18"/>
        <v>4</v>
      </c>
      <c r="X26" s="11">
        <f t="shared" si="19"/>
        <v>17.39</v>
      </c>
      <c r="Y26" s="11">
        <v>112</v>
      </c>
      <c r="Z26" s="2">
        <f t="shared" si="21"/>
        <v>100</v>
      </c>
      <c r="AA26" s="11">
        <v>0</v>
      </c>
      <c r="AB26" s="11">
        <f t="shared" si="23"/>
        <v>0</v>
      </c>
      <c r="AC26" s="11">
        <v>0</v>
      </c>
      <c r="AD26" s="11">
        <f t="shared" si="25"/>
        <v>0</v>
      </c>
      <c r="AE26" s="11">
        <v>107</v>
      </c>
      <c r="AF26" s="2">
        <f t="shared" si="27"/>
        <v>100</v>
      </c>
      <c r="AG26" s="11">
        <v>0</v>
      </c>
      <c r="AH26" s="11">
        <f t="shared" si="29"/>
        <v>0</v>
      </c>
      <c r="AI26" s="11">
        <v>0</v>
      </c>
      <c r="AJ26" s="11">
        <f t="shared" si="31"/>
        <v>0</v>
      </c>
      <c r="AK26" s="2">
        <f t="shared" si="32"/>
        <v>48.09</v>
      </c>
      <c r="AL26" s="2">
        <f t="shared" si="33"/>
        <v>55.83</v>
      </c>
      <c r="AM26" s="2">
        <f t="shared" si="34"/>
        <v>21.43</v>
      </c>
    </row>
    <row r="27" spans="1:44" x14ac:dyDescent="0.25">
      <c r="A27" s="13">
        <v>26</v>
      </c>
      <c r="B27" s="2" t="s">
        <v>50</v>
      </c>
      <c r="C27" s="2">
        <f t="shared" si="0"/>
        <v>26</v>
      </c>
      <c r="D27" s="2">
        <v>22</v>
      </c>
      <c r="E27" s="2">
        <f t="shared" si="1"/>
        <v>4.68</v>
      </c>
      <c r="F27" s="2">
        <v>18</v>
      </c>
      <c r="G27" s="2">
        <f t="shared" si="2"/>
        <v>4.83</v>
      </c>
      <c r="H27" s="2" t="b">
        <f t="shared" si="3"/>
        <v>0</v>
      </c>
      <c r="I27" s="41">
        <f t="shared" si="4"/>
        <v>79.099999999999994</v>
      </c>
      <c r="J27" s="41">
        <f t="shared" si="5"/>
        <v>78.400000000000006</v>
      </c>
      <c r="K27" s="41">
        <f t="shared" si="6"/>
        <v>85.6</v>
      </c>
      <c r="L27" s="41">
        <f t="shared" si="7"/>
        <v>90.6</v>
      </c>
      <c r="M27" s="11">
        <f t="shared" si="8"/>
        <v>59</v>
      </c>
      <c r="N27" s="2">
        <f t="shared" si="9"/>
        <v>32.22</v>
      </c>
      <c r="O27" s="11">
        <f t="shared" si="10"/>
        <v>5.3</v>
      </c>
      <c r="P27" s="11">
        <f t="shared" si="11"/>
        <v>11.45</v>
      </c>
      <c r="Q27" s="11">
        <f t="shared" si="12"/>
        <v>15</v>
      </c>
      <c r="R27" s="11">
        <f t="shared" si="13"/>
        <v>19.399999999999999</v>
      </c>
      <c r="S27" s="11">
        <f t="shared" si="14"/>
        <v>23</v>
      </c>
      <c r="T27" s="2">
        <f t="shared" si="15"/>
        <v>11.52</v>
      </c>
      <c r="U27" s="11">
        <f t="shared" si="16"/>
        <v>5.0999999999999996</v>
      </c>
      <c r="V27" s="11">
        <f t="shared" si="17"/>
        <v>39.840000000000003</v>
      </c>
      <c r="W27" s="11">
        <f t="shared" si="18"/>
        <v>9</v>
      </c>
      <c r="X27" s="11">
        <f t="shared" si="19"/>
        <v>39.130000000000003</v>
      </c>
      <c r="Y27" s="11">
        <v>112</v>
      </c>
      <c r="Z27" s="2">
        <f t="shared" si="21"/>
        <v>100</v>
      </c>
      <c r="AA27" s="11">
        <v>0</v>
      </c>
      <c r="AB27" s="11">
        <f t="shared" si="23"/>
        <v>0</v>
      </c>
      <c r="AC27" s="11">
        <v>0</v>
      </c>
      <c r="AD27" s="11">
        <f t="shared" si="25"/>
        <v>0</v>
      </c>
      <c r="AE27" s="11">
        <v>107</v>
      </c>
      <c r="AF27" s="2">
        <f t="shared" si="27"/>
        <v>100</v>
      </c>
      <c r="AG27" s="11">
        <v>0</v>
      </c>
      <c r="AH27" s="11">
        <f t="shared" si="29"/>
        <v>0</v>
      </c>
      <c r="AI27" s="11">
        <v>0</v>
      </c>
      <c r="AJ27" s="11">
        <f t="shared" si="31"/>
        <v>0</v>
      </c>
      <c r="AK27" s="2">
        <f t="shared" si="32"/>
        <v>48.41</v>
      </c>
      <c r="AL27" s="2">
        <f t="shared" si="33"/>
        <v>49.75</v>
      </c>
      <c r="AM27" s="2">
        <f t="shared" si="34"/>
        <v>22.23</v>
      </c>
    </row>
    <row r="28" spans="1:44" x14ac:dyDescent="0.25">
      <c r="A28" s="13">
        <v>27</v>
      </c>
      <c r="B28" s="2" t="s">
        <v>424</v>
      </c>
      <c r="C28" s="2">
        <f t="shared" si="0"/>
        <v>27</v>
      </c>
      <c r="D28" s="2">
        <v>23</v>
      </c>
      <c r="E28" s="2">
        <f t="shared" si="1"/>
        <v>4.9000000000000004</v>
      </c>
      <c r="F28" s="2">
        <v>22</v>
      </c>
      <c r="G28" s="2">
        <f t="shared" si="2"/>
        <v>5.97</v>
      </c>
      <c r="H28" s="2" t="b">
        <f t="shared" si="3"/>
        <v>0</v>
      </c>
      <c r="I28" s="41">
        <f t="shared" si="4"/>
        <v>77.8</v>
      </c>
      <c r="J28" s="41">
        <f t="shared" si="5"/>
        <v>89.2</v>
      </c>
      <c r="K28" s="41">
        <f t="shared" si="6"/>
        <v>77.900000000000006</v>
      </c>
      <c r="L28" s="41">
        <f t="shared" si="7"/>
        <v>78.2</v>
      </c>
      <c r="M28" s="11">
        <f t="shared" si="8"/>
        <v>32</v>
      </c>
      <c r="N28" s="2">
        <f t="shared" si="9"/>
        <v>17.22</v>
      </c>
      <c r="O28" s="11">
        <f t="shared" si="10"/>
        <v>8.1</v>
      </c>
      <c r="P28" s="11">
        <f t="shared" si="11"/>
        <v>17.489999999999998</v>
      </c>
      <c r="Q28" s="11">
        <f t="shared" si="12"/>
        <v>23</v>
      </c>
      <c r="R28" s="11">
        <f t="shared" si="13"/>
        <v>31.34</v>
      </c>
      <c r="S28" s="11">
        <f t="shared" si="14"/>
        <v>119</v>
      </c>
      <c r="T28" s="2">
        <f t="shared" si="15"/>
        <v>61.78</v>
      </c>
      <c r="U28" s="11">
        <f t="shared" si="16"/>
        <v>1.5</v>
      </c>
      <c r="V28" s="11">
        <f t="shared" si="17"/>
        <v>11.72</v>
      </c>
      <c r="W28" s="11">
        <f t="shared" si="18"/>
        <v>2</v>
      </c>
      <c r="X28" s="11">
        <f t="shared" si="19"/>
        <v>8.6999999999999993</v>
      </c>
      <c r="Y28" s="11">
        <v>112</v>
      </c>
      <c r="Z28" s="2">
        <f t="shared" si="21"/>
        <v>100</v>
      </c>
      <c r="AA28" s="11">
        <v>0</v>
      </c>
      <c r="AB28" s="11">
        <f t="shared" si="23"/>
        <v>0</v>
      </c>
      <c r="AC28" s="11">
        <v>0</v>
      </c>
      <c r="AD28" s="11">
        <f t="shared" si="25"/>
        <v>0</v>
      </c>
      <c r="AE28" s="11">
        <v>107</v>
      </c>
      <c r="AF28" s="2">
        <f t="shared" si="27"/>
        <v>100</v>
      </c>
      <c r="AG28" s="11">
        <v>0</v>
      </c>
      <c r="AH28" s="11">
        <f t="shared" si="29"/>
        <v>0</v>
      </c>
      <c r="AI28" s="11">
        <v>0</v>
      </c>
      <c r="AJ28" s="11">
        <f t="shared" si="31"/>
        <v>0</v>
      </c>
      <c r="AK28" s="2">
        <f t="shared" si="32"/>
        <v>50.97</v>
      </c>
      <c r="AL28" s="2">
        <f t="shared" si="33"/>
        <v>49.98</v>
      </c>
      <c r="AM28" s="2">
        <f t="shared" si="34"/>
        <v>23.76</v>
      </c>
    </row>
    <row r="29" spans="1:44" x14ac:dyDescent="0.25">
      <c r="A29" s="13">
        <v>28</v>
      </c>
      <c r="B29" s="2" t="s">
        <v>128</v>
      </c>
      <c r="C29" s="2">
        <f t="shared" si="0"/>
        <v>28</v>
      </c>
      <c r="D29" s="2">
        <v>21</v>
      </c>
      <c r="E29" s="2">
        <f t="shared" si="1"/>
        <v>4.45</v>
      </c>
      <c r="F29" s="2">
        <v>75</v>
      </c>
      <c r="G29" s="2">
        <f t="shared" si="2"/>
        <v>21.02</v>
      </c>
      <c r="H29" s="2" t="b">
        <f t="shared" si="3"/>
        <v>1</v>
      </c>
      <c r="I29" s="41">
        <f t="shared" si="4"/>
        <v>65.3</v>
      </c>
      <c r="J29" s="41">
        <f t="shared" si="5"/>
        <v>69.5</v>
      </c>
      <c r="K29" s="41">
        <f t="shared" si="6"/>
        <v>73.400000000000006</v>
      </c>
      <c r="L29" s="41">
        <f t="shared" si="7"/>
        <v>87.9</v>
      </c>
      <c r="M29" s="11">
        <f t="shared" si="8"/>
        <v>71</v>
      </c>
      <c r="N29" s="2">
        <f t="shared" si="9"/>
        <v>38.89</v>
      </c>
      <c r="O29" s="11">
        <f t="shared" si="10"/>
        <v>4.7</v>
      </c>
      <c r="P29" s="11">
        <f t="shared" si="11"/>
        <v>10.15</v>
      </c>
      <c r="Q29" s="11">
        <f t="shared" si="12"/>
        <v>10</v>
      </c>
      <c r="R29" s="11">
        <f t="shared" si="13"/>
        <v>11.94</v>
      </c>
      <c r="S29" s="11">
        <f t="shared" si="14"/>
        <v>25</v>
      </c>
      <c r="T29" s="2">
        <f t="shared" si="15"/>
        <v>12.57</v>
      </c>
      <c r="U29" s="11">
        <f t="shared" si="16"/>
        <v>4.5999999999999996</v>
      </c>
      <c r="V29" s="11">
        <f t="shared" si="17"/>
        <v>35.94</v>
      </c>
      <c r="W29" s="11">
        <f t="shared" si="18"/>
        <v>6</v>
      </c>
      <c r="X29" s="11">
        <f t="shared" si="19"/>
        <v>26.09</v>
      </c>
      <c r="Y29" s="11">
        <f>VLOOKUP(B29,Systems_Rank,2,FALSE)</f>
        <v>64</v>
      </c>
      <c r="Z29" s="2">
        <f t="shared" si="21"/>
        <v>56.76</v>
      </c>
      <c r="AA29" s="11">
        <f>VLOOKUP(B29,Systems_Rank,3,FALSE)</f>
        <v>1.3</v>
      </c>
      <c r="AB29" s="11">
        <f t="shared" si="23"/>
        <v>18.309999999999999</v>
      </c>
      <c r="AC29" s="11">
        <f>VLOOKUP(B29,Systems_Rank,4,FALSE)</f>
        <v>8</v>
      </c>
      <c r="AD29" s="11">
        <f t="shared" si="25"/>
        <v>12.9</v>
      </c>
      <c r="AE29" s="11">
        <f>VLOOKUP(B29,InterD_Rank,2,FALSE)</f>
        <v>42</v>
      </c>
      <c r="AF29" s="2">
        <f t="shared" si="27"/>
        <v>38.68</v>
      </c>
      <c r="AG29" s="11">
        <f>VLOOKUP(B29,InterD_Rank,3,FALSE)</f>
        <v>2.4</v>
      </c>
      <c r="AH29" s="11">
        <f t="shared" si="29"/>
        <v>13.71</v>
      </c>
      <c r="AI29" s="11">
        <f>VLOOKUP(B29,InterD_Rank,4,FALSE)</f>
        <v>4</v>
      </c>
      <c r="AJ29" s="11">
        <f t="shared" si="31"/>
        <v>6.67</v>
      </c>
      <c r="AK29" s="2">
        <f t="shared" si="32"/>
        <v>36.28</v>
      </c>
      <c r="AL29" s="2">
        <f t="shared" si="33"/>
        <v>44.8</v>
      </c>
      <c r="AM29" s="2">
        <f t="shared" si="34"/>
        <v>23.81</v>
      </c>
    </row>
    <row r="30" spans="1:44" x14ac:dyDescent="0.25">
      <c r="A30" s="13">
        <v>29</v>
      </c>
      <c r="B30" s="2" t="s">
        <v>16</v>
      </c>
      <c r="C30" s="2">
        <f t="shared" si="0"/>
        <v>29</v>
      </c>
      <c r="D30" s="2">
        <v>100</v>
      </c>
      <c r="E30" s="2">
        <f t="shared" si="1"/>
        <v>22.05</v>
      </c>
      <c r="F30" s="2">
        <v>75</v>
      </c>
      <c r="G30" s="2">
        <f t="shared" si="2"/>
        <v>21.02</v>
      </c>
      <c r="H30" s="2" t="b">
        <f t="shared" si="3"/>
        <v>0</v>
      </c>
      <c r="I30" s="41">
        <f t="shared" si="4"/>
        <v>63.3</v>
      </c>
      <c r="J30" s="41">
        <f t="shared" si="5"/>
        <v>74.900000000000006</v>
      </c>
      <c r="K30" s="41">
        <f t="shared" si="6"/>
        <v>82</v>
      </c>
      <c r="L30" s="41">
        <f t="shared" si="7"/>
        <v>87</v>
      </c>
      <c r="M30" s="11">
        <f t="shared" si="8"/>
        <v>40</v>
      </c>
      <c r="N30" s="2">
        <f t="shared" si="9"/>
        <v>21.67</v>
      </c>
      <c r="O30" s="11">
        <f t="shared" si="10"/>
        <v>6.8</v>
      </c>
      <c r="P30" s="11">
        <f t="shared" si="11"/>
        <v>14.69</v>
      </c>
      <c r="Q30" s="11">
        <f t="shared" si="12"/>
        <v>29</v>
      </c>
      <c r="R30" s="11">
        <f t="shared" si="13"/>
        <v>40.299999999999997</v>
      </c>
      <c r="S30" s="11">
        <f t="shared" si="14"/>
        <v>58</v>
      </c>
      <c r="T30" s="2">
        <f t="shared" si="15"/>
        <v>29.84</v>
      </c>
      <c r="U30" s="11">
        <f t="shared" si="16"/>
        <v>2.7</v>
      </c>
      <c r="V30" s="11">
        <f t="shared" si="17"/>
        <v>21.09</v>
      </c>
      <c r="W30" s="11">
        <f t="shared" si="18"/>
        <v>8</v>
      </c>
      <c r="X30" s="11">
        <f t="shared" si="19"/>
        <v>34.78</v>
      </c>
      <c r="Y30" s="11">
        <f>VLOOKUP(B30,Systems_Rank,2,FALSE)</f>
        <v>11</v>
      </c>
      <c r="Z30" s="2">
        <f t="shared" si="21"/>
        <v>9.01</v>
      </c>
      <c r="AA30" s="11">
        <f>VLOOKUP(B30,Systems_Rank,3,FALSE)</f>
        <v>3.5</v>
      </c>
      <c r="AB30" s="11">
        <f t="shared" si="23"/>
        <v>49.3</v>
      </c>
      <c r="AC30" s="11">
        <f>VLOOKUP(B30,Systems_Rank,4,FALSE)</f>
        <v>30</v>
      </c>
      <c r="AD30" s="11">
        <f t="shared" si="25"/>
        <v>48.39</v>
      </c>
      <c r="AE30" s="11">
        <f>VLOOKUP(B30,InterD_Rank,2,FALSE)</f>
        <v>68</v>
      </c>
      <c r="AF30" s="2">
        <f t="shared" si="27"/>
        <v>63.21</v>
      </c>
      <c r="AG30" s="11">
        <f>VLOOKUP(B30,InterD_Rank,3,FALSE)</f>
        <v>1.6</v>
      </c>
      <c r="AH30" s="11">
        <f t="shared" si="29"/>
        <v>9.14</v>
      </c>
      <c r="AI30" s="11">
        <f>VLOOKUP(B30,InterD_Rank,4,FALSE)</f>
        <v>4</v>
      </c>
      <c r="AJ30" s="11">
        <f t="shared" si="31"/>
        <v>6.67</v>
      </c>
      <c r="AK30" s="2">
        <f t="shared" si="32"/>
        <v>27.64</v>
      </c>
      <c r="AL30" s="2">
        <f t="shared" si="33"/>
        <v>52.35</v>
      </c>
      <c r="AM30" s="2">
        <f t="shared" si="34"/>
        <v>23.87</v>
      </c>
    </row>
    <row r="31" spans="1:44" x14ac:dyDescent="0.25">
      <c r="A31" s="13">
        <v>30</v>
      </c>
      <c r="B31" s="2" t="s">
        <v>123</v>
      </c>
      <c r="C31" s="2">
        <f t="shared" si="0"/>
        <v>30</v>
      </c>
      <c r="D31" s="2">
        <v>15</v>
      </c>
      <c r="E31" s="2">
        <f t="shared" si="1"/>
        <v>3.12</v>
      </c>
      <c r="F31" s="2">
        <v>39</v>
      </c>
      <c r="G31" s="2">
        <f t="shared" si="2"/>
        <v>10.8</v>
      </c>
      <c r="H31" s="2" t="b">
        <f t="shared" si="3"/>
        <v>1</v>
      </c>
      <c r="I31" s="41">
        <f t="shared" si="4"/>
        <v>72.3</v>
      </c>
      <c r="J31" s="41">
        <f t="shared" si="5"/>
        <v>86.8</v>
      </c>
      <c r="K31" s="41">
        <f t="shared" si="6"/>
        <v>69.400000000000006</v>
      </c>
      <c r="L31" s="41">
        <f t="shared" si="7"/>
        <v>87.1</v>
      </c>
      <c r="M31" s="11">
        <f t="shared" si="8"/>
        <v>105</v>
      </c>
      <c r="N31" s="2">
        <f t="shared" si="9"/>
        <v>57.78</v>
      </c>
      <c r="O31" s="11">
        <f t="shared" si="10"/>
        <v>3.2</v>
      </c>
      <c r="P31" s="11">
        <f t="shared" si="11"/>
        <v>6.91</v>
      </c>
      <c r="Q31" s="11">
        <f t="shared" si="12"/>
        <v>8</v>
      </c>
      <c r="R31" s="11">
        <f t="shared" si="13"/>
        <v>8.9600000000000009</v>
      </c>
      <c r="S31" s="11">
        <f t="shared" si="14"/>
        <v>51</v>
      </c>
      <c r="T31" s="2">
        <f t="shared" si="15"/>
        <v>26.18</v>
      </c>
      <c r="U31" s="11">
        <f t="shared" si="16"/>
        <v>2.9</v>
      </c>
      <c r="V31" s="11">
        <f t="shared" si="17"/>
        <v>22.66</v>
      </c>
      <c r="W31" s="11">
        <f t="shared" si="18"/>
        <v>5</v>
      </c>
      <c r="X31" s="11">
        <f t="shared" si="19"/>
        <v>21.74</v>
      </c>
      <c r="Y31" s="11">
        <f>VLOOKUP(B31,Systems_Rank,2,FALSE)</f>
        <v>51</v>
      </c>
      <c r="Z31" s="2">
        <f t="shared" si="21"/>
        <v>45.05</v>
      </c>
      <c r="AA31" s="11">
        <f>VLOOKUP(B31,Systems_Rank,3,FALSE)</f>
        <v>1.6</v>
      </c>
      <c r="AB31" s="11">
        <f t="shared" si="23"/>
        <v>22.54</v>
      </c>
      <c r="AC31" s="11">
        <f>VLOOKUP(B31,Systems_Rank,4,FALSE)</f>
        <v>14</v>
      </c>
      <c r="AD31" s="11">
        <f t="shared" si="25"/>
        <v>22.58</v>
      </c>
      <c r="AE31" s="11">
        <f>VLOOKUP(B31,InterD_Rank,2,FALSE)</f>
        <v>52</v>
      </c>
      <c r="AF31" s="2">
        <f t="shared" si="27"/>
        <v>48.11</v>
      </c>
      <c r="AG31" s="11">
        <f>VLOOKUP(B31,InterD_Rank,3,FALSE)</f>
        <v>2</v>
      </c>
      <c r="AH31" s="11">
        <f t="shared" si="29"/>
        <v>11.43</v>
      </c>
      <c r="AI31" s="11">
        <f>VLOOKUP(B31,InterD_Rank,4,FALSE)</f>
        <v>6</v>
      </c>
      <c r="AJ31" s="11">
        <f t="shared" si="31"/>
        <v>10</v>
      </c>
      <c r="AK31" s="2">
        <f t="shared" si="32"/>
        <v>48.1</v>
      </c>
      <c r="AL31" s="2">
        <f t="shared" si="33"/>
        <v>44.62</v>
      </c>
      <c r="AM31" s="2">
        <f t="shared" si="34"/>
        <v>24.18</v>
      </c>
    </row>
    <row r="32" spans="1:44" x14ac:dyDescent="0.25">
      <c r="A32" s="13">
        <v>31</v>
      </c>
      <c r="B32" s="2" t="s">
        <v>437</v>
      </c>
      <c r="C32" s="2">
        <f t="shared" si="0"/>
        <v>31</v>
      </c>
      <c r="D32" s="2">
        <v>47</v>
      </c>
      <c r="E32" s="2">
        <f t="shared" si="1"/>
        <v>10.24</v>
      </c>
      <c r="F32" s="2">
        <v>34</v>
      </c>
      <c r="G32" s="2">
        <f t="shared" si="2"/>
        <v>9.3800000000000008</v>
      </c>
      <c r="H32" s="2" t="b">
        <f t="shared" si="3"/>
        <v>0</v>
      </c>
      <c r="I32" s="41">
        <f t="shared" si="4"/>
        <v>71.2</v>
      </c>
      <c r="J32" s="41">
        <f t="shared" si="5"/>
        <v>79.3</v>
      </c>
      <c r="K32" s="41">
        <f t="shared" si="6"/>
        <v>85.8</v>
      </c>
      <c r="L32" s="41">
        <f t="shared" si="7"/>
        <v>93.2</v>
      </c>
      <c r="M32" s="11">
        <f t="shared" si="8"/>
        <v>41</v>
      </c>
      <c r="N32" s="2">
        <f t="shared" si="9"/>
        <v>22.22</v>
      </c>
      <c r="O32" s="11">
        <f t="shared" si="10"/>
        <v>6.7</v>
      </c>
      <c r="P32" s="11">
        <f t="shared" si="11"/>
        <v>14.47</v>
      </c>
      <c r="Q32" s="11">
        <f t="shared" si="12"/>
        <v>19</v>
      </c>
      <c r="R32" s="11">
        <f t="shared" si="13"/>
        <v>25.37</v>
      </c>
      <c r="S32" s="11">
        <f t="shared" si="14"/>
        <v>95</v>
      </c>
      <c r="T32" s="2">
        <f t="shared" si="15"/>
        <v>49.21</v>
      </c>
      <c r="U32" s="11">
        <f t="shared" si="16"/>
        <v>1.9</v>
      </c>
      <c r="V32" s="11">
        <f t="shared" si="17"/>
        <v>14.84</v>
      </c>
      <c r="W32" s="11">
        <f t="shared" si="18"/>
        <v>4</v>
      </c>
      <c r="X32" s="11">
        <f t="shared" si="19"/>
        <v>17.39</v>
      </c>
      <c r="Y32" s="11">
        <v>112</v>
      </c>
      <c r="Z32" s="2">
        <f t="shared" si="21"/>
        <v>100</v>
      </c>
      <c r="AA32" s="11">
        <v>0</v>
      </c>
      <c r="AB32" s="11">
        <f t="shared" si="23"/>
        <v>0</v>
      </c>
      <c r="AC32" s="11">
        <v>0</v>
      </c>
      <c r="AD32" s="11">
        <f t="shared" si="25"/>
        <v>0</v>
      </c>
      <c r="AE32" s="11">
        <v>107</v>
      </c>
      <c r="AF32" s="2">
        <f t="shared" si="27"/>
        <v>100</v>
      </c>
      <c r="AG32" s="11">
        <v>0</v>
      </c>
      <c r="AH32" s="11">
        <f t="shared" si="29"/>
        <v>0</v>
      </c>
      <c r="AI32" s="11">
        <v>0</v>
      </c>
      <c r="AJ32" s="11">
        <f t="shared" si="31"/>
        <v>0</v>
      </c>
      <c r="AK32" s="2">
        <f t="shared" si="32"/>
        <v>50.95</v>
      </c>
      <c r="AL32" s="2">
        <f t="shared" si="33"/>
        <v>50.88</v>
      </c>
      <c r="AM32" s="2">
        <f t="shared" si="34"/>
        <v>26.18</v>
      </c>
    </row>
    <row r="33" spans="1:39" x14ac:dyDescent="0.25">
      <c r="A33" s="13">
        <v>32</v>
      </c>
      <c r="B33" s="2" t="s">
        <v>127</v>
      </c>
      <c r="C33" s="2">
        <f t="shared" si="0"/>
        <v>32</v>
      </c>
      <c r="D33" s="2">
        <v>26</v>
      </c>
      <c r="E33" s="2">
        <f t="shared" si="1"/>
        <v>5.57</v>
      </c>
      <c r="F33" s="2">
        <v>75</v>
      </c>
      <c r="G33" s="2">
        <f t="shared" si="2"/>
        <v>21.02</v>
      </c>
      <c r="H33" s="2" t="b">
        <f t="shared" si="3"/>
        <v>1</v>
      </c>
      <c r="I33" s="41">
        <f t="shared" si="4"/>
        <v>63</v>
      </c>
      <c r="J33" s="41">
        <f t="shared" si="5"/>
        <v>70.5</v>
      </c>
      <c r="K33" s="41">
        <f t="shared" si="6"/>
        <v>76.900000000000006</v>
      </c>
      <c r="L33" s="41">
        <f t="shared" si="7"/>
        <v>91.8</v>
      </c>
      <c r="M33" s="11">
        <f t="shared" si="8"/>
        <v>86</v>
      </c>
      <c r="N33" s="2">
        <f t="shared" si="9"/>
        <v>47.22</v>
      </c>
      <c r="O33" s="11">
        <f t="shared" si="10"/>
        <v>4.0999999999999996</v>
      </c>
      <c r="P33" s="11">
        <f t="shared" si="11"/>
        <v>8.86</v>
      </c>
      <c r="Q33" s="11">
        <f t="shared" si="12"/>
        <v>13</v>
      </c>
      <c r="R33" s="11">
        <f t="shared" si="13"/>
        <v>16.420000000000002</v>
      </c>
      <c r="S33" s="11">
        <f t="shared" si="14"/>
        <v>84</v>
      </c>
      <c r="T33" s="2">
        <f t="shared" si="15"/>
        <v>43.46</v>
      </c>
      <c r="U33" s="11">
        <f t="shared" si="16"/>
        <v>2.1</v>
      </c>
      <c r="V33" s="11">
        <f t="shared" si="17"/>
        <v>16.41</v>
      </c>
      <c r="W33" s="11">
        <f t="shared" si="18"/>
        <v>4</v>
      </c>
      <c r="X33" s="11">
        <f t="shared" si="19"/>
        <v>17.39</v>
      </c>
      <c r="Y33" s="11">
        <f t="shared" ref="Y33:Y42" si="35">VLOOKUP(B33,Systems_Rank,2,FALSE)</f>
        <v>51</v>
      </c>
      <c r="Z33" s="2">
        <f t="shared" si="21"/>
        <v>45.05</v>
      </c>
      <c r="AA33" s="11">
        <f t="shared" ref="AA33:AA42" si="36">VLOOKUP(B33,Systems_Rank,3,FALSE)</f>
        <v>1.6</v>
      </c>
      <c r="AB33" s="11">
        <f t="shared" si="23"/>
        <v>22.54</v>
      </c>
      <c r="AC33" s="11">
        <f t="shared" ref="AC33:AC42" si="37">VLOOKUP(B33,Systems_Rank,4,FALSE)</f>
        <v>12</v>
      </c>
      <c r="AD33" s="11">
        <f t="shared" si="25"/>
        <v>19.350000000000001</v>
      </c>
      <c r="AE33" s="11">
        <f>VLOOKUP(B33,InterD_Rank,2,FALSE)</f>
        <v>42</v>
      </c>
      <c r="AF33" s="2">
        <f t="shared" si="27"/>
        <v>38.68</v>
      </c>
      <c r="AG33" s="11">
        <f>VLOOKUP(B33,InterD_Rank,3,FALSE)</f>
        <v>2.4</v>
      </c>
      <c r="AH33" s="11">
        <f t="shared" si="29"/>
        <v>13.71</v>
      </c>
      <c r="AI33" s="11">
        <f>VLOOKUP(B33,InterD_Rank,4,FALSE)</f>
        <v>4</v>
      </c>
      <c r="AJ33" s="11">
        <f t="shared" si="31"/>
        <v>6.67</v>
      </c>
      <c r="AK33" s="2">
        <f t="shared" si="32"/>
        <v>44.86</v>
      </c>
      <c r="AL33" s="2">
        <f t="shared" si="33"/>
        <v>46.96</v>
      </c>
      <c r="AM33" s="2">
        <f t="shared" si="34"/>
        <v>27.47</v>
      </c>
    </row>
    <row r="34" spans="1:39" x14ac:dyDescent="0.25">
      <c r="A34" s="13">
        <v>33</v>
      </c>
      <c r="B34" s="2" t="s">
        <v>126</v>
      </c>
      <c r="C34" s="2">
        <f t="shared" ref="C34:C59" si="38">RANK(AM34,$AM$2:$AM$59,1)</f>
        <v>33</v>
      </c>
      <c r="D34" s="2">
        <v>93</v>
      </c>
      <c r="E34" s="2">
        <f t="shared" ref="E34:E59" si="39" xml:space="preserve"> ROUND((((D34 - $D$63)/($D$62 - $D$63))*100),2)</f>
        <v>20.49</v>
      </c>
      <c r="F34" s="2">
        <v>75</v>
      </c>
      <c r="G34" s="2">
        <f t="shared" ref="G34:G59" si="40" xml:space="preserve"> ROUND((((F34 - $F$63)/($F$62 - $F$63))*100),2)</f>
        <v>21.02</v>
      </c>
      <c r="H34" s="2" t="b">
        <f t="shared" ref="H34:H59" si="41">D34&lt;=F34</f>
        <v>0</v>
      </c>
      <c r="I34" s="41">
        <f t="shared" ref="I34:I57" si="42">VLOOKUP(B34,Uni_TU_Lkp,6,FALSE)</f>
        <v>60.5</v>
      </c>
      <c r="J34" s="41">
        <f t="shared" ref="J34:J57" si="43">VLOOKUP(B34,Uni_TU_Lkp,7,FALSE)</f>
        <v>75.400000000000006</v>
      </c>
      <c r="K34" s="41">
        <f t="shared" ref="K34:K57" si="44">VLOOKUP(B34,Uni_TU_Lkp,8,FALSE)</f>
        <v>69.8</v>
      </c>
      <c r="L34" s="41">
        <f t="shared" ref="L34:L57" si="45">VLOOKUP(B34,Uni_TU_Lkp,9,FALSE)</f>
        <v>89.1</v>
      </c>
      <c r="M34" s="11">
        <f t="shared" ref="M34:M53" si="46">VLOOKUP(B34,AI_Rank,2,FALSE)</f>
        <v>62</v>
      </c>
      <c r="N34" s="2">
        <f t="shared" ref="N34:N59" si="47" xml:space="preserve"> ROUND((((M34 - $M$63)/($M$62 - $M$63))*100),2)</f>
        <v>33.89</v>
      </c>
      <c r="O34" s="11">
        <f t="shared" ref="O34:O53" si="48">VLOOKUP(B34,AI_Rank,3,FALSE)</f>
        <v>5.0999999999999996</v>
      </c>
      <c r="P34" s="11">
        <f t="shared" ref="P34:P59" si="49" xml:space="preserve"> ROUND((((O34 - $O$63)/($O$62 - $O$63)) * 100),2)</f>
        <v>11.02</v>
      </c>
      <c r="Q34" s="11">
        <f t="shared" ref="Q34:Q53" si="50">VLOOKUP(B34,AI_Rank,4,FALSE)</f>
        <v>14</v>
      </c>
      <c r="R34" s="11">
        <f t="shared" ref="R34:R59" si="51" xml:space="preserve"> ROUND((((Q34 - $Q$63)/($Q$62 - $Q$63)) * 100),2)</f>
        <v>17.91</v>
      </c>
      <c r="S34" s="11">
        <f t="shared" si="14"/>
        <v>31</v>
      </c>
      <c r="T34" s="2">
        <f t="shared" ref="T34:T59" si="52" xml:space="preserve"> ROUND((((S34 - $S$63)/($S$62 - $S$63))*100),2)</f>
        <v>15.71</v>
      </c>
      <c r="U34" s="11">
        <f t="shared" si="16"/>
        <v>4.0999999999999996</v>
      </c>
      <c r="V34" s="11">
        <f t="shared" ref="V34:V59" si="53" xml:space="preserve"> ROUND((((U34 - $U$63)/($U$62 - $U$63)) * 100),2)</f>
        <v>32.03</v>
      </c>
      <c r="W34" s="11">
        <f t="shared" si="18"/>
        <v>8</v>
      </c>
      <c r="X34" s="11">
        <f t="shared" ref="X34:X59" si="54" xml:space="preserve"> ROUND((((W34 - $W$63)/($W$62 - $W$63)) * 100),2)</f>
        <v>34.78</v>
      </c>
      <c r="Y34" s="11">
        <f t="shared" si="35"/>
        <v>45</v>
      </c>
      <c r="Z34" s="2">
        <f t="shared" ref="Z34:Z59" si="55" xml:space="preserve"> ROUND((((Y34 - $Y$63)/($Y$62 - $Y$63))*100),2)</f>
        <v>39.64</v>
      </c>
      <c r="AA34" s="11">
        <f t="shared" si="36"/>
        <v>1.7</v>
      </c>
      <c r="AB34" s="11">
        <f t="shared" ref="AB34:AB59" si="56" xml:space="preserve"> ROUND((((AA34 - $AA$63)/($AA$62 - $AA$63)) * 100),2)</f>
        <v>23.94</v>
      </c>
      <c r="AC34" s="11">
        <f t="shared" si="37"/>
        <v>13</v>
      </c>
      <c r="AD34" s="11">
        <f t="shared" ref="AD34:AD59" si="57" xml:space="preserve"> ROUND((((AC34 - $AC$63)/($AC$62 - $AC$63)) * 100),2)</f>
        <v>20.97</v>
      </c>
      <c r="AE34" s="11">
        <f>VLOOKUP(B34,InterD_Rank,2,FALSE)</f>
        <v>83</v>
      </c>
      <c r="AF34" s="2">
        <f t="shared" ref="AF34:AF59" si="58" xml:space="preserve"> ROUND((((AE34 - $AE$63)/($AE$62 - $AE$63))*100),2)</f>
        <v>77.36</v>
      </c>
      <c r="AG34" s="11">
        <f>VLOOKUP(B34,InterD_Rank,3,FALSE)</f>
        <v>1.3</v>
      </c>
      <c r="AH34" s="11">
        <f t="shared" ref="AH34:AH59" si="59" xml:space="preserve"> ROUND((((AG34 - $AG$63)/($AG$62 - $AG$63)) * 100),2)</f>
        <v>7.43</v>
      </c>
      <c r="AI34" s="11">
        <f>VLOOKUP(B34,InterD_Rank,4,FALSE)</f>
        <v>2</v>
      </c>
      <c r="AJ34" s="11">
        <f t="shared" ref="AJ34:AJ59" si="60" xml:space="preserve"> ROUND((((AI34 - $AI$63)/($AI$62 - $AI$63)) * 100),2)</f>
        <v>3.33</v>
      </c>
      <c r="AK34" s="2">
        <f t="shared" ref="AK34:AK59" si="61" xml:space="preserve"> ROUND((0.5 * N34 + 0.2 * T34 + 0.15 * Z34 + 0.15 * AF34),2)</f>
        <v>37.64</v>
      </c>
      <c r="AL34" s="2">
        <f t="shared" ref="AL34:AL59" si="62">ROUND((0.5*((I34+K34+L34)/3) + 0.5 * ((0.6 *((P34 + R34)/2)) + (0.2 * ((T34 + V34)/2)) + (0.1 * ((AB34 + AD34)/2)) + (0.1 * ((AH34 + AJ34)/2)))),2)</f>
        <v>44.68</v>
      </c>
      <c r="AM34" s="2">
        <f t="shared" ref="AM34:AM59" si="63" xml:space="preserve"> ROUND((0.2 * E34 + 0.4 * G34 + 0.4 * AK34),2)</f>
        <v>27.56</v>
      </c>
    </row>
    <row r="35" spans="1:39" x14ac:dyDescent="0.25">
      <c r="A35" s="13">
        <v>34</v>
      </c>
      <c r="B35" s="2" t="s">
        <v>422</v>
      </c>
      <c r="C35" s="2">
        <f t="shared" si="38"/>
        <v>34</v>
      </c>
      <c r="D35" s="2">
        <v>169</v>
      </c>
      <c r="E35" s="2">
        <f t="shared" si="39"/>
        <v>37.42</v>
      </c>
      <c r="F35" s="2">
        <v>75</v>
      </c>
      <c r="G35" s="2">
        <f t="shared" si="40"/>
        <v>21.02</v>
      </c>
      <c r="H35" s="2" t="b">
        <f t="shared" si="41"/>
        <v>0</v>
      </c>
      <c r="I35" s="41">
        <f t="shared" si="42"/>
        <v>65.400000000000006</v>
      </c>
      <c r="J35" s="41">
        <f t="shared" si="43"/>
        <v>61.1</v>
      </c>
      <c r="K35" s="41">
        <f t="shared" si="44"/>
        <v>78.5</v>
      </c>
      <c r="L35" s="41">
        <f t="shared" si="45"/>
        <v>93.4</v>
      </c>
      <c r="M35" s="11">
        <f t="shared" si="46"/>
        <v>53</v>
      </c>
      <c r="N35" s="2">
        <f t="shared" si="47"/>
        <v>28.89</v>
      </c>
      <c r="O35" s="11">
        <f t="shared" si="48"/>
        <v>5.7</v>
      </c>
      <c r="P35" s="11">
        <f t="shared" si="49"/>
        <v>12.31</v>
      </c>
      <c r="Q35" s="11">
        <f t="shared" si="50"/>
        <v>13</v>
      </c>
      <c r="R35" s="11">
        <f t="shared" si="51"/>
        <v>16.420000000000002</v>
      </c>
      <c r="S35" s="11">
        <f t="shared" si="14"/>
        <v>81</v>
      </c>
      <c r="T35" s="2">
        <f t="shared" si="52"/>
        <v>41.88</v>
      </c>
      <c r="U35" s="11">
        <f t="shared" si="16"/>
        <v>2.2000000000000002</v>
      </c>
      <c r="V35" s="11">
        <f t="shared" si="53"/>
        <v>17.190000000000001</v>
      </c>
      <c r="W35" s="11">
        <f t="shared" si="18"/>
        <v>5</v>
      </c>
      <c r="X35" s="11">
        <f t="shared" si="54"/>
        <v>21.74</v>
      </c>
      <c r="Y35" s="11">
        <f t="shared" si="35"/>
        <v>27</v>
      </c>
      <c r="Z35" s="2">
        <f t="shared" si="55"/>
        <v>23.42</v>
      </c>
      <c r="AA35" s="11">
        <f t="shared" si="36"/>
        <v>2.4</v>
      </c>
      <c r="AB35" s="11">
        <f t="shared" si="56"/>
        <v>33.799999999999997</v>
      </c>
      <c r="AC35" s="11">
        <f t="shared" si="37"/>
        <v>24</v>
      </c>
      <c r="AD35" s="11">
        <f t="shared" si="57"/>
        <v>38.71</v>
      </c>
      <c r="AE35" s="11">
        <f>VLOOKUP(B35,InterD_Rank,2,FALSE)</f>
        <v>34</v>
      </c>
      <c r="AF35" s="2">
        <f t="shared" si="58"/>
        <v>31.13</v>
      </c>
      <c r="AG35" s="11">
        <f>VLOOKUP(B35,InterD_Rank,3,FALSE)</f>
        <v>2.9</v>
      </c>
      <c r="AH35" s="11">
        <f t="shared" si="59"/>
        <v>16.57</v>
      </c>
      <c r="AI35" s="11">
        <f>VLOOKUP(B35,InterD_Rank,4,FALSE)</f>
        <v>13</v>
      </c>
      <c r="AJ35" s="11">
        <f t="shared" si="60"/>
        <v>21.67</v>
      </c>
      <c r="AK35" s="2">
        <f t="shared" si="61"/>
        <v>31</v>
      </c>
      <c r="AL35" s="2">
        <f t="shared" si="62"/>
        <v>49.58</v>
      </c>
      <c r="AM35" s="2">
        <f t="shared" si="63"/>
        <v>28.29</v>
      </c>
    </row>
    <row r="36" spans="1:39" x14ac:dyDescent="0.25">
      <c r="A36" s="13">
        <v>35</v>
      </c>
      <c r="B36" s="2" t="s">
        <v>42</v>
      </c>
      <c r="C36" s="2">
        <f t="shared" si="38"/>
        <v>35</v>
      </c>
      <c r="D36" s="2">
        <v>4</v>
      </c>
      <c r="E36" s="2">
        <f t="shared" si="39"/>
        <v>0.67</v>
      </c>
      <c r="F36" s="2">
        <v>22</v>
      </c>
      <c r="G36" s="2">
        <f t="shared" si="40"/>
        <v>5.97</v>
      </c>
      <c r="H36" s="2" t="b">
        <f t="shared" si="41"/>
        <v>1</v>
      </c>
      <c r="I36" s="41">
        <f t="shared" si="42"/>
        <v>78.900000000000006</v>
      </c>
      <c r="J36" s="41">
        <f t="shared" si="43"/>
        <v>80.900000000000006</v>
      </c>
      <c r="K36" s="41">
        <f t="shared" si="44"/>
        <v>78.8</v>
      </c>
      <c r="L36" s="41">
        <f t="shared" si="45"/>
        <v>90.8</v>
      </c>
      <c r="M36" s="11">
        <f t="shared" si="46"/>
        <v>122</v>
      </c>
      <c r="N36" s="2">
        <f t="shared" si="47"/>
        <v>67.22</v>
      </c>
      <c r="O36" s="11">
        <f t="shared" si="48"/>
        <v>2.7</v>
      </c>
      <c r="P36" s="11">
        <f t="shared" si="49"/>
        <v>5.83</v>
      </c>
      <c r="Q36" s="11">
        <f t="shared" si="50"/>
        <v>6</v>
      </c>
      <c r="R36" s="11">
        <f t="shared" si="51"/>
        <v>5.97</v>
      </c>
      <c r="S36" s="11">
        <f t="shared" si="14"/>
        <v>70</v>
      </c>
      <c r="T36" s="2">
        <f t="shared" si="52"/>
        <v>36.130000000000003</v>
      </c>
      <c r="U36" s="11">
        <f t="shared" si="16"/>
        <v>2.4</v>
      </c>
      <c r="V36" s="11">
        <f t="shared" si="53"/>
        <v>18.75</v>
      </c>
      <c r="W36" s="11">
        <f t="shared" si="18"/>
        <v>4</v>
      </c>
      <c r="X36" s="11">
        <f t="shared" si="54"/>
        <v>17.39</v>
      </c>
      <c r="Y36" s="11">
        <f t="shared" si="35"/>
        <v>75</v>
      </c>
      <c r="Z36" s="2">
        <f t="shared" si="55"/>
        <v>66.67</v>
      </c>
      <c r="AA36" s="11">
        <f t="shared" si="36"/>
        <v>1.2</v>
      </c>
      <c r="AB36" s="11">
        <f t="shared" si="56"/>
        <v>16.899999999999999</v>
      </c>
      <c r="AC36" s="11">
        <f t="shared" si="37"/>
        <v>2</v>
      </c>
      <c r="AD36" s="11">
        <f t="shared" si="57"/>
        <v>3.23</v>
      </c>
      <c r="AE36" s="11">
        <v>107</v>
      </c>
      <c r="AF36" s="2">
        <f t="shared" si="58"/>
        <v>100</v>
      </c>
      <c r="AG36" s="11">
        <v>0</v>
      </c>
      <c r="AH36" s="11">
        <f t="shared" si="59"/>
        <v>0</v>
      </c>
      <c r="AI36" s="11">
        <v>0</v>
      </c>
      <c r="AJ36" s="11">
        <f t="shared" si="60"/>
        <v>0</v>
      </c>
      <c r="AK36" s="2">
        <f t="shared" si="61"/>
        <v>65.84</v>
      </c>
      <c r="AL36" s="2">
        <f t="shared" si="62"/>
        <v>46.43</v>
      </c>
      <c r="AM36" s="2">
        <f t="shared" si="63"/>
        <v>28.86</v>
      </c>
    </row>
    <row r="37" spans="1:39" x14ac:dyDescent="0.25">
      <c r="A37" s="13">
        <v>36</v>
      </c>
      <c r="B37" s="2" t="s">
        <v>27</v>
      </c>
      <c r="C37" s="2">
        <f t="shared" si="38"/>
        <v>36</v>
      </c>
      <c r="D37" s="2">
        <v>9</v>
      </c>
      <c r="E37" s="2">
        <f t="shared" si="39"/>
        <v>1.78</v>
      </c>
      <c r="F37" s="2">
        <v>75</v>
      </c>
      <c r="G37" s="2">
        <f t="shared" si="40"/>
        <v>21.02</v>
      </c>
      <c r="H37" s="2" t="b">
        <f t="shared" si="41"/>
        <v>1</v>
      </c>
      <c r="I37" s="41">
        <f t="shared" si="42"/>
        <v>67.7</v>
      </c>
      <c r="J37" s="41">
        <f t="shared" si="43"/>
        <v>77.5</v>
      </c>
      <c r="K37" s="41">
        <f t="shared" si="44"/>
        <v>67.599999999999994</v>
      </c>
      <c r="L37" s="41">
        <f t="shared" si="45"/>
        <v>85.5</v>
      </c>
      <c r="M37" s="11">
        <f t="shared" si="46"/>
        <v>140</v>
      </c>
      <c r="N37" s="2">
        <f t="shared" si="47"/>
        <v>77.22</v>
      </c>
      <c r="O37" s="11">
        <f t="shared" si="48"/>
        <v>2.2999999999999998</v>
      </c>
      <c r="P37" s="11">
        <f t="shared" si="49"/>
        <v>4.97</v>
      </c>
      <c r="Q37" s="11">
        <f t="shared" si="50"/>
        <v>7</v>
      </c>
      <c r="R37" s="11">
        <f t="shared" si="51"/>
        <v>7.46</v>
      </c>
      <c r="S37" s="11">
        <f t="shared" si="14"/>
        <v>55</v>
      </c>
      <c r="T37" s="2">
        <f t="shared" si="52"/>
        <v>28.27</v>
      </c>
      <c r="U37" s="11">
        <f t="shared" si="16"/>
        <v>2.8</v>
      </c>
      <c r="V37" s="11">
        <f t="shared" si="53"/>
        <v>21.88</v>
      </c>
      <c r="W37" s="11">
        <f t="shared" si="18"/>
        <v>7</v>
      </c>
      <c r="X37" s="11">
        <f t="shared" si="54"/>
        <v>30.43</v>
      </c>
      <c r="Y37" s="11">
        <f t="shared" si="35"/>
        <v>13</v>
      </c>
      <c r="Z37" s="2">
        <f t="shared" si="55"/>
        <v>10.81</v>
      </c>
      <c r="AA37" s="11">
        <f t="shared" si="36"/>
        <v>3.4</v>
      </c>
      <c r="AB37" s="11">
        <f t="shared" si="56"/>
        <v>47.89</v>
      </c>
      <c r="AC37" s="11">
        <f t="shared" si="37"/>
        <v>18</v>
      </c>
      <c r="AD37" s="11">
        <f t="shared" si="57"/>
        <v>29.03</v>
      </c>
      <c r="AE37" s="11">
        <f t="shared" ref="AE37:AE42" si="64">VLOOKUP(B37,InterD_Rank,2,FALSE)</f>
        <v>35</v>
      </c>
      <c r="AF37" s="2">
        <f t="shared" si="58"/>
        <v>32.08</v>
      </c>
      <c r="AG37" s="11">
        <f t="shared" ref="AG37:AG42" si="65">VLOOKUP(B37,InterD_Rank,3,FALSE)</f>
        <v>2.8</v>
      </c>
      <c r="AH37" s="11">
        <f t="shared" si="59"/>
        <v>16</v>
      </c>
      <c r="AI37" s="11">
        <f t="shared" ref="AI37:AI42" si="66">VLOOKUP(B37,InterD_Rank,4,FALSE)</f>
        <v>8</v>
      </c>
      <c r="AJ37" s="11">
        <f t="shared" si="60"/>
        <v>13.33</v>
      </c>
      <c r="AK37" s="2">
        <f t="shared" si="61"/>
        <v>50.7</v>
      </c>
      <c r="AL37" s="2">
        <f t="shared" si="62"/>
        <v>43.83</v>
      </c>
      <c r="AM37" s="2">
        <f t="shared" si="63"/>
        <v>29.04</v>
      </c>
    </row>
    <row r="38" spans="1:39" x14ac:dyDescent="0.25">
      <c r="A38" s="13">
        <v>37</v>
      </c>
      <c r="B38" s="2" t="s">
        <v>18</v>
      </c>
      <c r="C38" s="2">
        <f t="shared" si="38"/>
        <v>37</v>
      </c>
      <c r="D38" s="2">
        <v>34</v>
      </c>
      <c r="E38" s="2">
        <f t="shared" si="39"/>
        <v>7.35</v>
      </c>
      <c r="F38" s="2">
        <v>125</v>
      </c>
      <c r="G38" s="2">
        <f t="shared" si="40"/>
        <v>35.229999999999997</v>
      </c>
      <c r="H38" s="2" t="b">
        <f t="shared" si="41"/>
        <v>1</v>
      </c>
      <c r="I38" s="41">
        <f t="shared" si="42"/>
        <v>49.6</v>
      </c>
      <c r="J38" s="41">
        <f t="shared" si="43"/>
        <v>76.599999999999994</v>
      </c>
      <c r="K38" s="41">
        <f t="shared" si="44"/>
        <v>71.8</v>
      </c>
      <c r="L38" s="41">
        <f t="shared" si="45"/>
        <v>89.4</v>
      </c>
      <c r="M38" s="11">
        <f t="shared" si="46"/>
        <v>91</v>
      </c>
      <c r="N38" s="2">
        <f t="shared" si="47"/>
        <v>50</v>
      </c>
      <c r="O38" s="11">
        <f t="shared" si="48"/>
        <v>3.9</v>
      </c>
      <c r="P38" s="11">
        <f t="shared" si="49"/>
        <v>8.42</v>
      </c>
      <c r="Q38" s="11">
        <f t="shared" si="50"/>
        <v>14</v>
      </c>
      <c r="R38" s="11">
        <f t="shared" si="51"/>
        <v>17.91</v>
      </c>
      <c r="S38" s="11">
        <f t="shared" si="14"/>
        <v>70</v>
      </c>
      <c r="T38" s="2">
        <f t="shared" si="52"/>
        <v>36.130000000000003</v>
      </c>
      <c r="U38" s="11">
        <f t="shared" si="16"/>
        <v>2.4</v>
      </c>
      <c r="V38" s="11">
        <f t="shared" si="53"/>
        <v>18.75</v>
      </c>
      <c r="W38" s="11">
        <f t="shared" si="18"/>
        <v>4</v>
      </c>
      <c r="X38" s="11">
        <f t="shared" si="54"/>
        <v>17.39</v>
      </c>
      <c r="Y38" s="11">
        <f t="shared" si="35"/>
        <v>30</v>
      </c>
      <c r="Z38" s="2">
        <f t="shared" si="55"/>
        <v>26.13</v>
      </c>
      <c r="AA38" s="11">
        <f t="shared" si="36"/>
        <v>2.1</v>
      </c>
      <c r="AB38" s="11">
        <f t="shared" si="56"/>
        <v>29.58</v>
      </c>
      <c r="AC38" s="11">
        <f t="shared" si="37"/>
        <v>18</v>
      </c>
      <c r="AD38" s="11">
        <f t="shared" si="57"/>
        <v>29.03</v>
      </c>
      <c r="AE38" s="11">
        <f t="shared" si="64"/>
        <v>17</v>
      </c>
      <c r="AF38" s="2">
        <f t="shared" si="58"/>
        <v>15.09</v>
      </c>
      <c r="AG38" s="11">
        <f t="shared" si="65"/>
        <v>4.2</v>
      </c>
      <c r="AH38" s="11">
        <f t="shared" si="59"/>
        <v>24</v>
      </c>
      <c r="AI38" s="11">
        <f t="shared" si="66"/>
        <v>7</v>
      </c>
      <c r="AJ38" s="11">
        <f t="shared" si="60"/>
        <v>11.67</v>
      </c>
      <c r="AK38" s="2">
        <f t="shared" si="61"/>
        <v>38.409999999999997</v>
      </c>
      <c r="AL38" s="2">
        <f t="shared" si="62"/>
        <v>44.18</v>
      </c>
      <c r="AM38" s="2">
        <f t="shared" si="63"/>
        <v>30.93</v>
      </c>
    </row>
    <row r="39" spans="1:39" x14ac:dyDescent="0.25">
      <c r="A39" s="13">
        <v>38</v>
      </c>
      <c r="B39" s="2" t="s">
        <v>402</v>
      </c>
      <c r="C39" s="2">
        <f t="shared" si="38"/>
        <v>38</v>
      </c>
      <c r="D39" s="2">
        <v>95</v>
      </c>
      <c r="E39" s="2">
        <f t="shared" si="39"/>
        <v>20.94</v>
      </c>
      <c r="F39" s="2">
        <v>75</v>
      </c>
      <c r="G39" s="2">
        <f t="shared" si="40"/>
        <v>21.02</v>
      </c>
      <c r="H39" s="2" t="b">
        <f t="shared" si="41"/>
        <v>0</v>
      </c>
      <c r="I39" s="41">
        <f t="shared" si="42"/>
        <v>58.2</v>
      </c>
      <c r="J39" s="41">
        <f t="shared" si="43"/>
        <v>69.2</v>
      </c>
      <c r="K39" s="41">
        <f t="shared" si="44"/>
        <v>85.8</v>
      </c>
      <c r="L39" s="41">
        <f t="shared" si="45"/>
        <v>90.5</v>
      </c>
      <c r="M39" s="11">
        <f t="shared" si="46"/>
        <v>75</v>
      </c>
      <c r="N39" s="2">
        <f t="shared" si="47"/>
        <v>41.11</v>
      </c>
      <c r="O39" s="11">
        <f t="shared" si="48"/>
        <v>4.5999999999999996</v>
      </c>
      <c r="P39" s="11">
        <f t="shared" si="49"/>
        <v>9.94</v>
      </c>
      <c r="Q39" s="11">
        <f t="shared" si="50"/>
        <v>11</v>
      </c>
      <c r="R39" s="11">
        <f t="shared" si="51"/>
        <v>13.43</v>
      </c>
      <c r="S39" s="11">
        <f t="shared" si="14"/>
        <v>148</v>
      </c>
      <c r="T39" s="2">
        <f t="shared" si="52"/>
        <v>76.959999999999994</v>
      </c>
      <c r="U39" s="11">
        <f t="shared" si="16"/>
        <v>1.2</v>
      </c>
      <c r="V39" s="11">
        <f t="shared" si="53"/>
        <v>9.3800000000000008</v>
      </c>
      <c r="W39" s="11">
        <f t="shared" si="18"/>
        <v>2</v>
      </c>
      <c r="X39" s="11">
        <f t="shared" si="54"/>
        <v>8.6999999999999993</v>
      </c>
      <c r="Y39" s="11">
        <f t="shared" si="35"/>
        <v>11</v>
      </c>
      <c r="Z39" s="2">
        <f t="shared" si="55"/>
        <v>9.01</v>
      </c>
      <c r="AA39" s="11">
        <f t="shared" si="36"/>
        <v>3.5</v>
      </c>
      <c r="AB39" s="11">
        <f t="shared" si="56"/>
        <v>49.3</v>
      </c>
      <c r="AC39" s="11">
        <f t="shared" si="37"/>
        <v>25</v>
      </c>
      <c r="AD39" s="11">
        <f t="shared" si="57"/>
        <v>40.32</v>
      </c>
      <c r="AE39" s="11">
        <f t="shared" si="64"/>
        <v>73</v>
      </c>
      <c r="AF39" s="2">
        <f t="shared" si="58"/>
        <v>67.92</v>
      </c>
      <c r="AG39" s="11">
        <f t="shared" si="65"/>
        <v>1.5</v>
      </c>
      <c r="AH39" s="11">
        <f t="shared" si="59"/>
        <v>8.57</v>
      </c>
      <c r="AI39" s="11">
        <f t="shared" si="66"/>
        <v>3</v>
      </c>
      <c r="AJ39" s="11">
        <f t="shared" si="60"/>
        <v>5</v>
      </c>
      <c r="AK39" s="2">
        <f t="shared" si="61"/>
        <v>47.49</v>
      </c>
      <c r="AL39" s="2">
        <f t="shared" si="62"/>
        <v>49.49</v>
      </c>
      <c r="AM39" s="2">
        <f t="shared" si="63"/>
        <v>31.59</v>
      </c>
    </row>
    <row r="40" spans="1:39" x14ac:dyDescent="0.25">
      <c r="A40" s="13">
        <v>39</v>
      </c>
      <c r="B40" s="2" t="s">
        <v>110</v>
      </c>
      <c r="C40" s="2">
        <f t="shared" si="38"/>
        <v>39</v>
      </c>
      <c r="D40" s="2">
        <v>56</v>
      </c>
      <c r="E40" s="2">
        <f t="shared" si="39"/>
        <v>12.25</v>
      </c>
      <c r="F40" s="2">
        <v>125</v>
      </c>
      <c r="G40" s="2">
        <f t="shared" si="40"/>
        <v>35.229999999999997</v>
      </c>
      <c r="H40" s="2" t="b">
        <f t="shared" si="41"/>
        <v>1</v>
      </c>
      <c r="I40" s="41">
        <f t="shared" si="42"/>
        <v>58.3</v>
      </c>
      <c r="J40" s="41">
        <f t="shared" si="43"/>
        <v>66.7</v>
      </c>
      <c r="K40" s="41">
        <f t="shared" si="44"/>
        <v>71.8</v>
      </c>
      <c r="L40" s="41">
        <f t="shared" si="45"/>
        <v>90.6</v>
      </c>
      <c r="M40" s="11">
        <f t="shared" si="46"/>
        <v>86</v>
      </c>
      <c r="N40" s="2">
        <f t="shared" si="47"/>
        <v>47.22</v>
      </c>
      <c r="O40" s="11">
        <f t="shared" si="48"/>
        <v>4.0999999999999996</v>
      </c>
      <c r="P40" s="11">
        <f t="shared" si="49"/>
        <v>8.86</v>
      </c>
      <c r="Q40" s="11">
        <f t="shared" si="50"/>
        <v>10</v>
      </c>
      <c r="R40" s="11">
        <f t="shared" si="51"/>
        <v>11.94</v>
      </c>
      <c r="S40" s="11">
        <f t="shared" si="14"/>
        <v>51</v>
      </c>
      <c r="T40" s="2">
        <f t="shared" si="52"/>
        <v>26.18</v>
      </c>
      <c r="U40" s="11">
        <f t="shared" si="16"/>
        <v>2.9</v>
      </c>
      <c r="V40" s="11">
        <f t="shared" si="53"/>
        <v>22.66</v>
      </c>
      <c r="W40" s="11">
        <f t="shared" si="18"/>
        <v>7</v>
      </c>
      <c r="X40" s="11">
        <f t="shared" si="54"/>
        <v>30.43</v>
      </c>
      <c r="Y40" s="11">
        <f t="shared" si="35"/>
        <v>45</v>
      </c>
      <c r="Z40" s="2">
        <f t="shared" si="55"/>
        <v>39.64</v>
      </c>
      <c r="AA40" s="11">
        <f t="shared" si="36"/>
        <v>1.7</v>
      </c>
      <c r="AB40" s="11">
        <f t="shared" si="56"/>
        <v>23.94</v>
      </c>
      <c r="AC40" s="11">
        <f t="shared" si="37"/>
        <v>12</v>
      </c>
      <c r="AD40" s="11">
        <f t="shared" si="57"/>
        <v>19.350000000000001</v>
      </c>
      <c r="AE40" s="11">
        <f t="shared" si="64"/>
        <v>25</v>
      </c>
      <c r="AF40" s="2">
        <f t="shared" si="58"/>
        <v>22.64</v>
      </c>
      <c r="AG40" s="11">
        <f t="shared" si="65"/>
        <v>3.7</v>
      </c>
      <c r="AH40" s="11">
        <f t="shared" si="59"/>
        <v>21.14</v>
      </c>
      <c r="AI40" s="11">
        <f t="shared" si="66"/>
        <v>5</v>
      </c>
      <c r="AJ40" s="11">
        <f t="shared" si="60"/>
        <v>8.33</v>
      </c>
      <c r="AK40" s="2">
        <f t="shared" si="61"/>
        <v>38.19</v>
      </c>
      <c r="AL40" s="2">
        <f t="shared" si="62"/>
        <v>44.16</v>
      </c>
      <c r="AM40" s="2">
        <f t="shared" si="63"/>
        <v>31.82</v>
      </c>
    </row>
    <row r="41" spans="1:39" x14ac:dyDescent="0.25">
      <c r="A41" s="13">
        <v>40</v>
      </c>
      <c r="B41" s="2" t="s">
        <v>427</v>
      </c>
      <c r="C41" s="2">
        <f t="shared" si="38"/>
        <v>40</v>
      </c>
      <c r="D41" s="2">
        <v>100</v>
      </c>
      <c r="E41" s="2">
        <f t="shared" si="39"/>
        <v>22.05</v>
      </c>
      <c r="F41" s="2">
        <v>125</v>
      </c>
      <c r="G41" s="2">
        <f t="shared" si="40"/>
        <v>35.229999999999997</v>
      </c>
      <c r="H41" s="2" t="b">
        <f t="shared" si="41"/>
        <v>1</v>
      </c>
      <c r="I41" s="41">
        <f t="shared" si="42"/>
        <v>56.7</v>
      </c>
      <c r="J41" s="41">
        <f t="shared" si="43"/>
        <v>61.7</v>
      </c>
      <c r="K41" s="41">
        <f t="shared" si="44"/>
        <v>77.599999999999994</v>
      </c>
      <c r="L41" s="41">
        <f t="shared" si="45"/>
        <v>91.8</v>
      </c>
      <c r="M41" s="11">
        <f t="shared" si="46"/>
        <v>66</v>
      </c>
      <c r="N41" s="2">
        <f t="shared" si="47"/>
        <v>36.11</v>
      </c>
      <c r="O41" s="11">
        <f t="shared" si="48"/>
        <v>4.9000000000000004</v>
      </c>
      <c r="P41" s="11">
        <f t="shared" si="49"/>
        <v>10.58</v>
      </c>
      <c r="Q41" s="11">
        <f t="shared" si="50"/>
        <v>6</v>
      </c>
      <c r="R41" s="11">
        <f t="shared" si="51"/>
        <v>5.97</v>
      </c>
      <c r="S41" s="11">
        <f t="shared" si="14"/>
        <v>58</v>
      </c>
      <c r="T41" s="2">
        <f t="shared" si="52"/>
        <v>29.84</v>
      </c>
      <c r="U41" s="11">
        <f t="shared" si="16"/>
        <v>2.7</v>
      </c>
      <c r="V41" s="11">
        <f t="shared" si="53"/>
        <v>21.09</v>
      </c>
      <c r="W41" s="11">
        <f t="shared" si="18"/>
        <v>4</v>
      </c>
      <c r="X41" s="11">
        <f t="shared" si="54"/>
        <v>17.39</v>
      </c>
      <c r="Y41" s="11">
        <f t="shared" si="35"/>
        <v>45</v>
      </c>
      <c r="Z41" s="2">
        <f t="shared" si="55"/>
        <v>39.64</v>
      </c>
      <c r="AA41" s="11">
        <f t="shared" si="36"/>
        <v>1.7</v>
      </c>
      <c r="AB41" s="11">
        <f t="shared" si="56"/>
        <v>23.94</v>
      </c>
      <c r="AC41" s="11">
        <f t="shared" si="37"/>
        <v>14</v>
      </c>
      <c r="AD41" s="11">
        <f t="shared" si="57"/>
        <v>22.58</v>
      </c>
      <c r="AE41" s="11">
        <f t="shared" si="64"/>
        <v>35</v>
      </c>
      <c r="AF41" s="2">
        <f t="shared" si="58"/>
        <v>32.08</v>
      </c>
      <c r="AG41" s="11">
        <f t="shared" si="65"/>
        <v>2.8</v>
      </c>
      <c r="AH41" s="11">
        <f t="shared" si="59"/>
        <v>16</v>
      </c>
      <c r="AI41" s="11">
        <f t="shared" si="66"/>
        <v>6</v>
      </c>
      <c r="AJ41" s="11">
        <f t="shared" si="60"/>
        <v>10</v>
      </c>
      <c r="AK41" s="2">
        <f t="shared" si="61"/>
        <v>34.78</v>
      </c>
      <c r="AL41" s="2">
        <f t="shared" si="62"/>
        <v>44.53</v>
      </c>
      <c r="AM41" s="2">
        <f t="shared" si="63"/>
        <v>32.409999999999997</v>
      </c>
    </row>
    <row r="42" spans="1:39" x14ac:dyDescent="0.25">
      <c r="A42" s="13">
        <v>41</v>
      </c>
      <c r="B42" s="2" t="s">
        <v>112</v>
      </c>
      <c r="C42" s="2">
        <f t="shared" si="38"/>
        <v>41</v>
      </c>
      <c r="D42" s="2">
        <v>259</v>
      </c>
      <c r="E42" s="2">
        <f t="shared" si="39"/>
        <v>57.46</v>
      </c>
      <c r="F42" s="2">
        <v>125</v>
      </c>
      <c r="G42" s="2">
        <f t="shared" si="40"/>
        <v>35.229999999999997</v>
      </c>
      <c r="H42" s="2" t="b">
        <f t="shared" si="41"/>
        <v>0</v>
      </c>
      <c r="I42" s="41">
        <f t="shared" si="42"/>
        <v>63.5</v>
      </c>
      <c r="J42" s="41">
        <f t="shared" si="43"/>
        <v>58</v>
      </c>
      <c r="K42" s="41">
        <f t="shared" si="44"/>
        <v>77.900000000000006</v>
      </c>
      <c r="L42" s="41">
        <f t="shared" si="45"/>
        <v>95</v>
      </c>
      <c r="M42" s="11">
        <f t="shared" si="46"/>
        <v>17</v>
      </c>
      <c r="N42" s="2">
        <f t="shared" si="47"/>
        <v>8.89</v>
      </c>
      <c r="O42" s="11">
        <f t="shared" si="48"/>
        <v>11</v>
      </c>
      <c r="P42" s="11">
        <f t="shared" si="49"/>
        <v>23.76</v>
      </c>
      <c r="Q42" s="11">
        <f t="shared" si="50"/>
        <v>26</v>
      </c>
      <c r="R42" s="11">
        <f t="shared" si="51"/>
        <v>35.82</v>
      </c>
      <c r="S42" s="11">
        <f t="shared" si="14"/>
        <v>95</v>
      </c>
      <c r="T42" s="2">
        <f t="shared" si="52"/>
        <v>49.21</v>
      </c>
      <c r="U42" s="11">
        <f t="shared" si="16"/>
        <v>1.9</v>
      </c>
      <c r="V42" s="11">
        <f t="shared" si="53"/>
        <v>14.84</v>
      </c>
      <c r="W42" s="11">
        <f t="shared" si="18"/>
        <v>3</v>
      </c>
      <c r="X42" s="11">
        <f t="shared" si="54"/>
        <v>13.04</v>
      </c>
      <c r="Y42" s="11">
        <f t="shared" si="35"/>
        <v>15</v>
      </c>
      <c r="Z42" s="2">
        <f t="shared" si="55"/>
        <v>12.61</v>
      </c>
      <c r="AA42" s="11">
        <f t="shared" si="36"/>
        <v>3.2</v>
      </c>
      <c r="AB42" s="11">
        <f t="shared" si="56"/>
        <v>45.07</v>
      </c>
      <c r="AC42" s="11">
        <f t="shared" si="37"/>
        <v>28</v>
      </c>
      <c r="AD42" s="11">
        <f t="shared" si="57"/>
        <v>45.16</v>
      </c>
      <c r="AE42" s="11">
        <f t="shared" si="64"/>
        <v>20</v>
      </c>
      <c r="AF42" s="2">
        <f t="shared" si="58"/>
        <v>17.920000000000002</v>
      </c>
      <c r="AG42" s="11">
        <f t="shared" si="65"/>
        <v>4</v>
      </c>
      <c r="AH42" s="11">
        <f t="shared" si="59"/>
        <v>22.86</v>
      </c>
      <c r="AI42" s="11">
        <f t="shared" si="66"/>
        <v>11</v>
      </c>
      <c r="AJ42" s="11">
        <f t="shared" si="60"/>
        <v>18.329999999999998</v>
      </c>
      <c r="AK42" s="2">
        <f t="shared" si="61"/>
        <v>18.87</v>
      </c>
      <c r="AL42" s="2">
        <f t="shared" si="62"/>
        <v>54.83</v>
      </c>
      <c r="AM42" s="2">
        <f t="shared" si="63"/>
        <v>33.130000000000003</v>
      </c>
    </row>
    <row r="43" spans="1:39" x14ac:dyDescent="0.25">
      <c r="A43" s="13">
        <v>42</v>
      </c>
      <c r="B43" s="2" t="s">
        <v>53</v>
      </c>
      <c r="C43" s="2">
        <f t="shared" si="38"/>
        <v>42</v>
      </c>
      <c r="D43" s="2">
        <v>61</v>
      </c>
      <c r="E43" s="2">
        <f t="shared" si="39"/>
        <v>13.36</v>
      </c>
      <c r="F43" s="2">
        <v>42</v>
      </c>
      <c r="G43" s="2">
        <f t="shared" si="40"/>
        <v>11.65</v>
      </c>
      <c r="H43" s="2" t="b">
        <f t="shared" si="41"/>
        <v>0</v>
      </c>
      <c r="I43" s="41">
        <f t="shared" si="42"/>
        <v>73.8</v>
      </c>
      <c r="J43" s="41">
        <f t="shared" si="43"/>
        <v>75.400000000000006</v>
      </c>
      <c r="K43" s="41">
        <f t="shared" si="44"/>
        <v>80.599999999999994</v>
      </c>
      <c r="L43" s="41">
        <f t="shared" si="45"/>
        <v>84.5</v>
      </c>
      <c r="M43" s="11">
        <f t="shared" si="46"/>
        <v>113</v>
      </c>
      <c r="N43" s="2">
        <f t="shared" si="47"/>
        <v>62.22</v>
      </c>
      <c r="O43" s="11">
        <f t="shared" si="48"/>
        <v>2.9</v>
      </c>
      <c r="P43" s="11">
        <f t="shared" si="49"/>
        <v>6.26</v>
      </c>
      <c r="Q43" s="11">
        <f t="shared" si="50"/>
        <v>9</v>
      </c>
      <c r="R43" s="11">
        <f t="shared" si="51"/>
        <v>10.45</v>
      </c>
      <c r="S43" s="11">
        <f t="shared" si="14"/>
        <v>46</v>
      </c>
      <c r="T43" s="2">
        <f t="shared" si="52"/>
        <v>23.56</v>
      </c>
      <c r="U43" s="11">
        <f t="shared" si="16"/>
        <v>3.1</v>
      </c>
      <c r="V43" s="11">
        <f t="shared" si="53"/>
        <v>24.22</v>
      </c>
      <c r="W43" s="11">
        <f t="shared" si="18"/>
        <v>7</v>
      </c>
      <c r="X43" s="11">
        <f t="shared" si="54"/>
        <v>30.43</v>
      </c>
      <c r="Y43" s="11">
        <v>112</v>
      </c>
      <c r="Z43" s="2">
        <f t="shared" si="55"/>
        <v>100</v>
      </c>
      <c r="AA43" s="11">
        <v>0</v>
      </c>
      <c r="AB43" s="11">
        <f t="shared" si="56"/>
        <v>0</v>
      </c>
      <c r="AC43" s="11">
        <v>0</v>
      </c>
      <c r="AD43" s="11">
        <f t="shared" si="57"/>
        <v>0</v>
      </c>
      <c r="AE43" s="11">
        <v>107</v>
      </c>
      <c r="AF43" s="2">
        <f t="shared" si="58"/>
        <v>100</v>
      </c>
      <c r="AG43" s="11">
        <v>0</v>
      </c>
      <c r="AH43" s="11">
        <f t="shared" si="59"/>
        <v>0</v>
      </c>
      <c r="AI43" s="11">
        <v>0</v>
      </c>
      <c r="AJ43" s="11">
        <f t="shared" si="60"/>
        <v>0</v>
      </c>
      <c r="AK43" s="2">
        <f t="shared" si="61"/>
        <v>65.819999999999993</v>
      </c>
      <c r="AL43" s="2">
        <f t="shared" si="62"/>
        <v>44.71</v>
      </c>
      <c r="AM43" s="2">
        <f t="shared" si="63"/>
        <v>33.659999999999997</v>
      </c>
    </row>
    <row r="44" spans="1:39" x14ac:dyDescent="0.25">
      <c r="A44" s="13">
        <v>43</v>
      </c>
      <c r="B44" s="2" t="s">
        <v>417</v>
      </c>
      <c r="C44" s="2">
        <f t="shared" si="38"/>
        <v>43</v>
      </c>
      <c r="D44" s="2">
        <v>83</v>
      </c>
      <c r="E44" s="2">
        <f t="shared" si="39"/>
        <v>18.260000000000002</v>
      </c>
      <c r="F44" s="2">
        <v>125</v>
      </c>
      <c r="G44" s="2">
        <f t="shared" si="40"/>
        <v>35.229999999999997</v>
      </c>
      <c r="H44" s="2" t="b">
        <f t="shared" si="41"/>
        <v>1</v>
      </c>
      <c r="I44" s="41">
        <f t="shared" si="42"/>
        <v>65</v>
      </c>
      <c r="J44" s="41">
        <f t="shared" si="43"/>
        <v>61.3</v>
      </c>
      <c r="K44" s="41">
        <f t="shared" si="44"/>
        <v>71.8</v>
      </c>
      <c r="L44" s="41">
        <f t="shared" si="45"/>
        <v>91.9</v>
      </c>
      <c r="M44" s="11">
        <f t="shared" si="46"/>
        <v>77</v>
      </c>
      <c r="N44" s="2">
        <f t="shared" si="47"/>
        <v>42.22</v>
      </c>
      <c r="O44" s="11">
        <f t="shared" si="48"/>
        <v>4.4000000000000004</v>
      </c>
      <c r="P44" s="11">
        <f t="shared" si="49"/>
        <v>9.5</v>
      </c>
      <c r="Q44" s="11">
        <f t="shared" si="50"/>
        <v>9</v>
      </c>
      <c r="R44" s="11">
        <f t="shared" si="51"/>
        <v>10.45</v>
      </c>
      <c r="S44" s="11">
        <v>192</v>
      </c>
      <c r="T44" s="2">
        <f t="shared" si="52"/>
        <v>100</v>
      </c>
      <c r="U44" s="11"/>
      <c r="V44" s="11">
        <f t="shared" si="53"/>
        <v>0</v>
      </c>
      <c r="W44" s="11"/>
      <c r="X44" s="11">
        <f t="shared" si="54"/>
        <v>0</v>
      </c>
      <c r="Y44" s="11">
        <f>VLOOKUP(B44,Systems_Rank,2,FALSE)</f>
        <v>51</v>
      </c>
      <c r="Z44" s="2">
        <f t="shared" si="55"/>
        <v>45.05</v>
      </c>
      <c r="AA44" s="11">
        <f>VLOOKUP(B44,Systems_Rank,3,FALSE)</f>
        <v>1.6</v>
      </c>
      <c r="AB44" s="11">
        <f t="shared" si="56"/>
        <v>22.54</v>
      </c>
      <c r="AC44" s="11">
        <f>VLOOKUP(B44,Systems_Rank,4,FALSE)</f>
        <v>9</v>
      </c>
      <c r="AD44" s="11">
        <f t="shared" si="57"/>
        <v>14.52</v>
      </c>
      <c r="AE44" s="11">
        <f>VLOOKUP(B44,InterD_Rank,2,FALSE)</f>
        <v>24</v>
      </c>
      <c r="AF44" s="2">
        <f t="shared" si="58"/>
        <v>21.7</v>
      </c>
      <c r="AG44" s="11">
        <f>VLOOKUP(B44,InterD_Rank,3,FALSE)</f>
        <v>3.8</v>
      </c>
      <c r="AH44" s="11">
        <f t="shared" si="59"/>
        <v>21.71</v>
      </c>
      <c r="AI44" s="11">
        <f>VLOOKUP(B44,InterD_Rank,4,FALSE)</f>
        <v>8</v>
      </c>
      <c r="AJ44" s="11">
        <f t="shared" si="60"/>
        <v>13.33</v>
      </c>
      <c r="AK44" s="2">
        <f t="shared" si="61"/>
        <v>51.12</v>
      </c>
      <c r="AL44" s="2">
        <f t="shared" si="62"/>
        <v>47.91</v>
      </c>
      <c r="AM44" s="2">
        <f t="shared" si="63"/>
        <v>38.19</v>
      </c>
    </row>
    <row r="45" spans="1:39" x14ac:dyDescent="0.25">
      <c r="A45" s="13">
        <v>44</v>
      </c>
      <c r="B45" s="2" t="s">
        <v>420</v>
      </c>
      <c r="C45" s="2">
        <f t="shared" si="38"/>
        <v>44</v>
      </c>
      <c r="D45" s="2">
        <v>132</v>
      </c>
      <c r="E45" s="2">
        <f t="shared" si="39"/>
        <v>29.18</v>
      </c>
      <c r="F45" s="2">
        <v>175</v>
      </c>
      <c r="G45" s="2">
        <f t="shared" si="40"/>
        <v>49.43</v>
      </c>
      <c r="H45" s="2" t="b">
        <f t="shared" si="41"/>
        <v>1</v>
      </c>
      <c r="I45" s="41">
        <f t="shared" si="42"/>
        <v>58.9</v>
      </c>
      <c r="J45" s="41">
        <f t="shared" si="43"/>
        <v>49.5</v>
      </c>
      <c r="K45" s="41">
        <f t="shared" si="44"/>
        <v>77.900000000000006</v>
      </c>
      <c r="L45" s="41">
        <f t="shared" si="45"/>
        <v>91.8</v>
      </c>
      <c r="M45" s="11">
        <f t="shared" si="46"/>
        <v>80</v>
      </c>
      <c r="N45" s="2">
        <f t="shared" si="47"/>
        <v>43.89</v>
      </c>
      <c r="O45" s="11">
        <f t="shared" si="48"/>
        <v>4.3</v>
      </c>
      <c r="P45" s="11">
        <f t="shared" si="49"/>
        <v>9.2899999999999991</v>
      </c>
      <c r="Q45" s="11">
        <f t="shared" si="50"/>
        <v>15</v>
      </c>
      <c r="R45" s="11">
        <f t="shared" si="51"/>
        <v>19.399999999999999</v>
      </c>
      <c r="S45" s="11">
        <f t="shared" ref="S45:S50" si="67">VLOOKUP(B45,Theory_Rank,2,FALSE)</f>
        <v>36</v>
      </c>
      <c r="T45" s="2">
        <f t="shared" si="52"/>
        <v>18.32</v>
      </c>
      <c r="U45" s="11">
        <f t="shared" ref="U45:U50" si="68">VLOOKUP(B45,Theory_Rank,3,FALSE)</f>
        <v>3.7</v>
      </c>
      <c r="V45" s="11">
        <f t="shared" si="53"/>
        <v>28.91</v>
      </c>
      <c r="W45" s="11">
        <f t="shared" ref="W45:W50" si="69">VLOOKUP(B45,Theory_Rank,4,FALSE)</f>
        <v>4</v>
      </c>
      <c r="X45" s="11">
        <f t="shared" si="54"/>
        <v>17.39</v>
      </c>
      <c r="Y45" s="11">
        <f>VLOOKUP(B45,Systems_Rank,2,FALSE)</f>
        <v>25</v>
      </c>
      <c r="Z45" s="2">
        <f t="shared" si="55"/>
        <v>21.62</v>
      </c>
      <c r="AA45" s="11">
        <f>VLOOKUP(B45,Systems_Rank,3,FALSE)</f>
        <v>2.5</v>
      </c>
      <c r="AB45" s="11">
        <f t="shared" si="56"/>
        <v>35.21</v>
      </c>
      <c r="AC45" s="11">
        <f>VLOOKUP(B45,Systems_Rank,4,FALSE)</f>
        <v>15</v>
      </c>
      <c r="AD45" s="11">
        <f t="shared" si="57"/>
        <v>24.19</v>
      </c>
      <c r="AE45" s="11">
        <f>VLOOKUP(B45,InterD_Rank,2,FALSE)</f>
        <v>63</v>
      </c>
      <c r="AF45" s="2">
        <f t="shared" si="58"/>
        <v>58.49</v>
      </c>
      <c r="AG45" s="11">
        <f>VLOOKUP(B45,InterD_Rank,3,FALSE)</f>
        <v>1.8</v>
      </c>
      <c r="AH45" s="11">
        <f t="shared" si="59"/>
        <v>10.29</v>
      </c>
      <c r="AI45" s="11">
        <f>VLOOKUP(B45,InterD_Rank,4,FALSE)</f>
        <v>4</v>
      </c>
      <c r="AJ45" s="11">
        <f t="shared" si="60"/>
        <v>6.67</v>
      </c>
      <c r="AK45" s="2">
        <f t="shared" si="61"/>
        <v>37.630000000000003</v>
      </c>
      <c r="AL45" s="2">
        <f t="shared" si="62"/>
        <v>46.67</v>
      </c>
      <c r="AM45" s="2">
        <f t="shared" si="63"/>
        <v>40.659999999999997</v>
      </c>
    </row>
    <row r="46" spans="1:39" x14ac:dyDescent="0.25">
      <c r="A46" s="13">
        <v>45</v>
      </c>
      <c r="B46" s="2" t="s">
        <v>21</v>
      </c>
      <c r="C46" s="2">
        <f t="shared" si="38"/>
        <v>45</v>
      </c>
      <c r="D46" s="2">
        <v>52</v>
      </c>
      <c r="E46" s="2">
        <f t="shared" si="39"/>
        <v>11.36</v>
      </c>
      <c r="F46" s="2">
        <v>75</v>
      </c>
      <c r="G46" s="2">
        <f t="shared" si="40"/>
        <v>21.02</v>
      </c>
      <c r="H46" s="2" t="b">
        <f t="shared" si="41"/>
        <v>1</v>
      </c>
      <c r="I46" s="41">
        <f t="shared" si="42"/>
        <v>61.6</v>
      </c>
      <c r="J46" s="41">
        <f t="shared" si="43"/>
        <v>72.3</v>
      </c>
      <c r="K46" s="41">
        <f t="shared" si="44"/>
        <v>82.5</v>
      </c>
      <c r="L46" s="41">
        <f t="shared" si="45"/>
        <v>84.8</v>
      </c>
      <c r="M46" s="11">
        <f t="shared" si="46"/>
        <v>102</v>
      </c>
      <c r="N46" s="2">
        <f t="shared" si="47"/>
        <v>56.11</v>
      </c>
      <c r="O46" s="11">
        <f t="shared" si="48"/>
        <v>3.3</v>
      </c>
      <c r="P46" s="11">
        <f t="shared" si="49"/>
        <v>7.13</v>
      </c>
      <c r="Q46" s="11">
        <f t="shared" si="50"/>
        <v>16</v>
      </c>
      <c r="R46" s="11">
        <f t="shared" si="51"/>
        <v>20.9</v>
      </c>
      <c r="S46" s="11">
        <f t="shared" si="67"/>
        <v>166</v>
      </c>
      <c r="T46" s="2">
        <f t="shared" si="52"/>
        <v>86.39</v>
      </c>
      <c r="U46" s="11">
        <f t="shared" si="68"/>
        <v>1.1000000000000001</v>
      </c>
      <c r="V46" s="11">
        <f t="shared" si="53"/>
        <v>8.59</v>
      </c>
      <c r="W46" s="11">
        <f t="shared" si="69"/>
        <v>1</v>
      </c>
      <c r="X46" s="11">
        <f t="shared" si="54"/>
        <v>4.3499999999999996</v>
      </c>
      <c r="Y46" s="11">
        <v>112</v>
      </c>
      <c r="Z46" s="2">
        <f t="shared" si="55"/>
        <v>100</v>
      </c>
      <c r="AA46" s="11">
        <v>0</v>
      </c>
      <c r="AB46" s="11">
        <f t="shared" si="56"/>
        <v>0</v>
      </c>
      <c r="AC46" s="11">
        <v>0</v>
      </c>
      <c r="AD46" s="11">
        <f t="shared" si="57"/>
        <v>0</v>
      </c>
      <c r="AE46" s="11">
        <v>107</v>
      </c>
      <c r="AF46" s="2">
        <f t="shared" si="58"/>
        <v>100</v>
      </c>
      <c r="AG46" s="11">
        <v>0</v>
      </c>
      <c r="AH46" s="11">
        <f t="shared" si="59"/>
        <v>0</v>
      </c>
      <c r="AI46" s="11">
        <v>0</v>
      </c>
      <c r="AJ46" s="11">
        <f t="shared" si="60"/>
        <v>0</v>
      </c>
      <c r="AK46" s="2">
        <f t="shared" si="61"/>
        <v>75.33</v>
      </c>
      <c r="AL46" s="2">
        <f t="shared" si="62"/>
        <v>47.1</v>
      </c>
      <c r="AM46" s="2">
        <f t="shared" si="63"/>
        <v>40.81</v>
      </c>
    </row>
    <row r="47" spans="1:39" x14ac:dyDescent="0.25">
      <c r="A47" s="13">
        <v>46</v>
      </c>
      <c r="B47" s="2" t="s">
        <v>408</v>
      </c>
      <c r="C47" s="2">
        <f t="shared" si="38"/>
        <v>46</v>
      </c>
      <c r="D47" s="2">
        <v>89</v>
      </c>
      <c r="E47" s="2">
        <f t="shared" si="39"/>
        <v>19.600000000000001</v>
      </c>
      <c r="F47" s="2">
        <v>175</v>
      </c>
      <c r="G47" s="2">
        <f t="shared" si="40"/>
        <v>49.43</v>
      </c>
      <c r="H47" s="2" t="b">
        <f t="shared" si="41"/>
        <v>1</v>
      </c>
      <c r="I47" s="41">
        <f t="shared" si="42"/>
        <v>49.8</v>
      </c>
      <c r="J47" s="41">
        <f t="shared" si="43"/>
        <v>65.099999999999994</v>
      </c>
      <c r="K47" s="41">
        <f t="shared" si="44"/>
        <v>79.7</v>
      </c>
      <c r="L47" s="41">
        <f t="shared" si="45"/>
        <v>91.2</v>
      </c>
      <c r="M47" s="11">
        <f t="shared" si="46"/>
        <v>83</v>
      </c>
      <c r="N47" s="2">
        <f t="shared" si="47"/>
        <v>45.56</v>
      </c>
      <c r="O47" s="11">
        <f t="shared" si="48"/>
        <v>4.2</v>
      </c>
      <c r="P47" s="11">
        <f t="shared" si="49"/>
        <v>9.07</v>
      </c>
      <c r="Q47" s="11">
        <f t="shared" si="50"/>
        <v>12</v>
      </c>
      <c r="R47" s="11">
        <f t="shared" si="51"/>
        <v>14.93</v>
      </c>
      <c r="S47" s="11">
        <f t="shared" si="67"/>
        <v>110</v>
      </c>
      <c r="T47" s="2">
        <f t="shared" si="52"/>
        <v>57.07</v>
      </c>
      <c r="U47" s="11">
        <f t="shared" si="68"/>
        <v>1.7</v>
      </c>
      <c r="V47" s="11">
        <f t="shared" si="53"/>
        <v>13.28</v>
      </c>
      <c r="W47" s="11">
        <f t="shared" si="69"/>
        <v>4</v>
      </c>
      <c r="X47" s="11">
        <f t="shared" si="54"/>
        <v>17.39</v>
      </c>
      <c r="Y47" s="11">
        <f t="shared" ref="Y47:Y53" si="70">VLOOKUP(B47,Systems_Rank,2,FALSE)</f>
        <v>18</v>
      </c>
      <c r="Z47" s="2">
        <f t="shared" si="55"/>
        <v>15.32</v>
      </c>
      <c r="AA47" s="11">
        <f t="shared" ref="AA47:AA53" si="71">VLOOKUP(B47,Systems_Rank,3,FALSE)</f>
        <v>2.9</v>
      </c>
      <c r="AB47" s="11">
        <f t="shared" si="56"/>
        <v>40.85</v>
      </c>
      <c r="AC47" s="11">
        <f t="shared" ref="AC47:AC53" si="72">VLOOKUP(B47,Systems_Rank,4,FALSE)</f>
        <v>19</v>
      </c>
      <c r="AD47" s="11">
        <f t="shared" si="57"/>
        <v>30.65</v>
      </c>
      <c r="AE47" s="11">
        <f t="shared" ref="AE47:AE53" si="73">VLOOKUP(B47,InterD_Rank,2,FALSE)</f>
        <v>48</v>
      </c>
      <c r="AF47" s="2">
        <f t="shared" si="58"/>
        <v>44.34</v>
      </c>
      <c r="AG47" s="11">
        <f t="shared" ref="AG47:AG53" si="74">VLOOKUP(B47,InterD_Rank,3,FALSE)</f>
        <v>2.2000000000000002</v>
      </c>
      <c r="AH47" s="11">
        <f t="shared" si="59"/>
        <v>12.57</v>
      </c>
      <c r="AI47" s="11">
        <f t="shared" ref="AI47:AI53" si="75">VLOOKUP(B47,InterD_Rank,4,FALSE)</f>
        <v>5</v>
      </c>
      <c r="AJ47" s="11">
        <f t="shared" si="60"/>
        <v>8.33</v>
      </c>
      <c r="AK47" s="2">
        <f t="shared" si="61"/>
        <v>43.14</v>
      </c>
      <c r="AL47" s="2">
        <f t="shared" si="62"/>
        <v>46.21</v>
      </c>
      <c r="AM47" s="2">
        <f t="shared" si="63"/>
        <v>40.950000000000003</v>
      </c>
    </row>
    <row r="48" spans="1:39" x14ac:dyDescent="0.25">
      <c r="A48" s="13">
        <v>47</v>
      </c>
      <c r="B48" s="2" t="s">
        <v>440</v>
      </c>
      <c r="C48" s="2">
        <f t="shared" si="38"/>
        <v>47</v>
      </c>
      <c r="D48" s="2">
        <v>214</v>
      </c>
      <c r="E48" s="2">
        <f t="shared" si="39"/>
        <v>47.44</v>
      </c>
      <c r="F48" s="2">
        <v>175</v>
      </c>
      <c r="G48" s="2">
        <f t="shared" si="40"/>
        <v>49.43</v>
      </c>
      <c r="H48" s="2" t="b">
        <f t="shared" si="41"/>
        <v>0</v>
      </c>
      <c r="I48" s="41">
        <f t="shared" si="42"/>
        <v>55.5</v>
      </c>
      <c r="J48" s="41">
        <f t="shared" si="43"/>
        <v>61.8</v>
      </c>
      <c r="K48" s="41">
        <f t="shared" si="44"/>
        <v>71</v>
      </c>
      <c r="L48" s="41">
        <f t="shared" si="45"/>
        <v>87.9</v>
      </c>
      <c r="M48" s="11">
        <f t="shared" si="46"/>
        <v>42</v>
      </c>
      <c r="N48" s="2">
        <f t="shared" si="47"/>
        <v>22.78</v>
      </c>
      <c r="O48" s="11">
        <f t="shared" si="48"/>
        <v>6.2</v>
      </c>
      <c r="P48" s="11">
        <f t="shared" si="49"/>
        <v>13.39</v>
      </c>
      <c r="Q48" s="11">
        <f t="shared" si="50"/>
        <v>11</v>
      </c>
      <c r="R48" s="11">
        <f t="shared" si="51"/>
        <v>13.43</v>
      </c>
      <c r="S48" s="11">
        <f t="shared" si="67"/>
        <v>66</v>
      </c>
      <c r="T48" s="2">
        <f t="shared" si="52"/>
        <v>34.03</v>
      </c>
      <c r="U48" s="11">
        <f t="shared" si="68"/>
        <v>2.5</v>
      </c>
      <c r="V48" s="11">
        <f t="shared" si="53"/>
        <v>19.53</v>
      </c>
      <c r="W48" s="11">
        <f t="shared" si="69"/>
        <v>3</v>
      </c>
      <c r="X48" s="11">
        <f t="shared" si="54"/>
        <v>13.04</v>
      </c>
      <c r="Y48" s="11">
        <f t="shared" si="70"/>
        <v>51</v>
      </c>
      <c r="Z48" s="2">
        <f t="shared" si="55"/>
        <v>45.05</v>
      </c>
      <c r="AA48" s="11">
        <f t="shared" si="71"/>
        <v>1.6</v>
      </c>
      <c r="AB48" s="11">
        <f t="shared" si="56"/>
        <v>22.54</v>
      </c>
      <c r="AC48" s="11">
        <f t="shared" si="72"/>
        <v>13</v>
      </c>
      <c r="AD48" s="11">
        <f t="shared" si="57"/>
        <v>20.97</v>
      </c>
      <c r="AE48" s="11">
        <f t="shared" si="73"/>
        <v>50</v>
      </c>
      <c r="AF48" s="2">
        <f t="shared" si="58"/>
        <v>46.23</v>
      </c>
      <c r="AG48" s="11">
        <f t="shared" si="74"/>
        <v>2.1</v>
      </c>
      <c r="AH48" s="11">
        <f t="shared" si="59"/>
        <v>12</v>
      </c>
      <c r="AI48" s="11">
        <f t="shared" si="75"/>
        <v>6</v>
      </c>
      <c r="AJ48" s="11">
        <f t="shared" si="60"/>
        <v>10</v>
      </c>
      <c r="AK48" s="2">
        <f t="shared" si="61"/>
        <v>31.89</v>
      </c>
      <c r="AL48" s="2">
        <f t="shared" si="62"/>
        <v>44.07</v>
      </c>
      <c r="AM48" s="2">
        <f t="shared" si="63"/>
        <v>42.02</v>
      </c>
    </row>
    <row r="49" spans="1:39" x14ac:dyDescent="0.25">
      <c r="A49" s="13">
        <v>48</v>
      </c>
      <c r="B49" s="2" t="s">
        <v>115</v>
      </c>
      <c r="C49" s="2">
        <f t="shared" si="38"/>
        <v>48</v>
      </c>
      <c r="D49" s="2">
        <v>87</v>
      </c>
      <c r="E49" s="2">
        <f t="shared" si="39"/>
        <v>19.149999999999999</v>
      </c>
      <c r="F49" s="2">
        <v>175</v>
      </c>
      <c r="G49" s="2">
        <f t="shared" si="40"/>
        <v>49.43</v>
      </c>
      <c r="H49" s="2" t="b">
        <f t="shared" si="41"/>
        <v>1</v>
      </c>
      <c r="I49" s="41">
        <f t="shared" si="42"/>
        <v>57.7</v>
      </c>
      <c r="J49" s="41">
        <f t="shared" si="43"/>
        <v>58</v>
      </c>
      <c r="K49" s="41">
        <f t="shared" si="44"/>
        <v>73</v>
      </c>
      <c r="L49" s="41">
        <f t="shared" si="45"/>
        <v>93.2</v>
      </c>
      <c r="M49" s="11">
        <f t="shared" si="46"/>
        <v>102</v>
      </c>
      <c r="N49" s="2">
        <f t="shared" si="47"/>
        <v>56.11</v>
      </c>
      <c r="O49" s="11">
        <f t="shared" si="48"/>
        <v>3.3</v>
      </c>
      <c r="P49" s="11">
        <f t="shared" si="49"/>
        <v>7.13</v>
      </c>
      <c r="Q49" s="11">
        <f t="shared" si="50"/>
        <v>10</v>
      </c>
      <c r="R49" s="11">
        <f t="shared" si="51"/>
        <v>11.94</v>
      </c>
      <c r="S49" s="11">
        <f t="shared" si="67"/>
        <v>101</v>
      </c>
      <c r="T49" s="2">
        <f t="shared" si="52"/>
        <v>52.36</v>
      </c>
      <c r="U49" s="11">
        <f t="shared" si="68"/>
        <v>1.8</v>
      </c>
      <c r="V49" s="11">
        <f t="shared" si="53"/>
        <v>14.06</v>
      </c>
      <c r="W49" s="11">
        <f t="shared" si="69"/>
        <v>2</v>
      </c>
      <c r="X49" s="11">
        <f t="shared" si="54"/>
        <v>8.6999999999999993</v>
      </c>
      <c r="Y49" s="11">
        <f t="shared" si="70"/>
        <v>32</v>
      </c>
      <c r="Z49" s="2">
        <f t="shared" si="55"/>
        <v>27.93</v>
      </c>
      <c r="AA49" s="11">
        <f t="shared" si="71"/>
        <v>2</v>
      </c>
      <c r="AB49" s="11">
        <f t="shared" si="56"/>
        <v>28.17</v>
      </c>
      <c r="AC49" s="11">
        <f t="shared" si="72"/>
        <v>13</v>
      </c>
      <c r="AD49" s="11">
        <f t="shared" si="57"/>
        <v>20.97</v>
      </c>
      <c r="AE49" s="11">
        <f t="shared" si="73"/>
        <v>52</v>
      </c>
      <c r="AF49" s="2">
        <f t="shared" si="58"/>
        <v>48.11</v>
      </c>
      <c r="AG49" s="11">
        <f t="shared" si="74"/>
        <v>2</v>
      </c>
      <c r="AH49" s="11">
        <f t="shared" si="59"/>
        <v>11.43</v>
      </c>
      <c r="AI49" s="11">
        <f t="shared" si="75"/>
        <v>4</v>
      </c>
      <c r="AJ49" s="11">
        <f t="shared" si="60"/>
        <v>6.67</v>
      </c>
      <c r="AK49" s="2">
        <f t="shared" si="61"/>
        <v>49.93</v>
      </c>
      <c r="AL49" s="2">
        <f t="shared" si="62"/>
        <v>45.18</v>
      </c>
      <c r="AM49" s="2">
        <f t="shared" si="63"/>
        <v>43.57</v>
      </c>
    </row>
    <row r="50" spans="1:39" x14ac:dyDescent="0.25">
      <c r="A50" s="13">
        <v>49</v>
      </c>
      <c r="B50" s="2" t="s">
        <v>397</v>
      </c>
      <c r="C50" s="2">
        <f t="shared" si="38"/>
        <v>49</v>
      </c>
      <c r="D50" s="11">
        <v>156</v>
      </c>
      <c r="E50" s="2">
        <f t="shared" si="39"/>
        <v>34.520000000000003</v>
      </c>
      <c r="F50" s="11">
        <v>175</v>
      </c>
      <c r="G50" s="2">
        <f t="shared" si="40"/>
        <v>49.43</v>
      </c>
      <c r="H50" s="2" t="b">
        <f t="shared" si="41"/>
        <v>1</v>
      </c>
      <c r="I50" s="41">
        <f t="shared" si="42"/>
        <v>52.2</v>
      </c>
      <c r="J50" s="41">
        <f t="shared" si="43"/>
        <v>58.1</v>
      </c>
      <c r="K50" s="41">
        <f t="shared" si="44"/>
        <v>81.400000000000006</v>
      </c>
      <c r="L50" s="41">
        <f t="shared" si="45"/>
        <v>91.8</v>
      </c>
      <c r="M50" s="11">
        <f t="shared" si="46"/>
        <v>97</v>
      </c>
      <c r="N50" s="2">
        <f t="shared" si="47"/>
        <v>53.33</v>
      </c>
      <c r="O50" s="11">
        <f t="shared" si="48"/>
        <v>3.5</v>
      </c>
      <c r="P50" s="11">
        <f t="shared" si="49"/>
        <v>7.56</v>
      </c>
      <c r="Q50" s="11">
        <f t="shared" si="50"/>
        <v>15</v>
      </c>
      <c r="R50" s="11">
        <f t="shared" si="51"/>
        <v>19.399999999999999</v>
      </c>
      <c r="S50" s="11">
        <f t="shared" si="67"/>
        <v>166</v>
      </c>
      <c r="T50" s="2">
        <f t="shared" si="52"/>
        <v>86.39</v>
      </c>
      <c r="U50" s="11">
        <f t="shared" si="68"/>
        <v>1.1000000000000001</v>
      </c>
      <c r="V50" s="11">
        <f t="shared" si="53"/>
        <v>8.59</v>
      </c>
      <c r="W50" s="11">
        <f t="shared" si="69"/>
        <v>1</v>
      </c>
      <c r="X50" s="11">
        <f t="shared" si="54"/>
        <v>4.3499999999999996</v>
      </c>
      <c r="Y50" s="11">
        <f t="shared" si="70"/>
        <v>35</v>
      </c>
      <c r="Z50" s="2">
        <f t="shared" si="55"/>
        <v>30.63</v>
      </c>
      <c r="AA50" s="11">
        <f t="shared" si="71"/>
        <v>1.9</v>
      </c>
      <c r="AB50" s="11">
        <f t="shared" si="56"/>
        <v>26.76</v>
      </c>
      <c r="AC50" s="11">
        <f t="shared" si="72"/>
        <v>15</v>
      </c>
      <c r="AD50" s="11">
        <f t="shared" si="57"/>
        <v>24.19</v>
      </c>
      <c r="AE50" s="11">
        <f t="shared" si="73"/>
        <v>8</v>
      </c>
      <c r="AF50" s="2">
        <f t="shared" si="58"/>
        <v>6.6</v>
      </c>
      <c r="AG50" s="11">
        <f t="shared" si="74"/>
        <v>8.3000000000000007</v>
      </c>
      <c r="AH50" s="11">
        <f t="shared" si="59"/>
        <v>47.43</v>
      </c>
      <c r="AI50" s="11">
        <f t="shared" si="75"/>
        <v>16</v>
      </c>
      <c r="AJ50" s="11">
        <f t="shared" si="60"/>
        <v>26.67</v>
      </c>
      <c r="AK50" s="2">
        <f t="shared" si="61"/>
        <v>49.53</v>
      </c>
      <c r="AL50" s="2">
        <f t="shared" si="62"/>
        <v>49.49</v>
      </c>
      <c r="AM50" s="2">
        <f t="shared" si="63"/>
        <v>46.49</v>
      </c>
    </row>
    <row r="51" spans="1:39" x14ac:dyDescent="0.25">
      <c r="A51" s="13">
        <v>50</v>
      </c>
      <c r="B51" s="2" t="s">
        <v>242</v>
      </c>
      <c r="C51" s="2">
        <f t="shared" si="38"/>
        <v>50</v>
      </c>
      <c r="D51" s="2">
        <v>212</v>
      </c>
      <c r="E51" s="2">
        <f t="shared" si="39"/>
        <v>46.99</v>
      </c>
      <c r="F51" s="2">
        <v>175</v>
      </c>
      <c r="G51" s="2">
        <f t="shared" si="40"/>
        <v>49.43</v>
      </c>
      <c r="H51" s="2" t="b">
        <f t="shared" si="41"/>
        <v>0</v>
      </c>
      <c r="I51" s="41">
        <f t="shared" si="42"/>
        <v>49.5</v>
      </c>
      <c r="J51" s="41">
        <f t="shared" si="43"/>
        <v>65.599999999999994</v>
      </c>
      <c r="K51" s="41">
        <f t="shared" si="44"/>
        <v>80</v>
      </c>
      <c r="L51" s="41">
        <f t="shared" si="45"/>
        <v>88.6</v>
      </c>
      <c r="M51" s="11">
        <f t="shared" si="46"/>
        <v>55</v>
      </c>
      <c r="N51" s="2">
        <f t="shared" si="47"/>
        <v>30</v>
      </c>
      <c r="O51" s="11">
        <f t="shared" si="48"/>
        <v>5.6</v>
      </c>
      <c r="P51" s="11">
        <f t="shared" si="49"/>
        <v>12.1</v>
      </c>
      <c r="Q51" s="11">
        <f t="shared" si="50"/>
        <v>13</v>
      </c>
      <c r="R51" s="11">
        <f t="shared" si="51"/>
        <v>16.420000000000002</v>
      </c>
      <c r="S51" s="11">
        <v>192</v>
      </c>
      <c r="T51" s="2">
        <f t="shared" si="52"/>
        <v>100</v>
      </c>
      <c r="U51" s="11">
        <v>0</v>
      </c>
      <c r="V51" s="11">
        <f t="shared" si="53"/>
        <v>0</v>
      </c>
      <c r="W51" s="11">
        <v>0</v>
      </c>
      <c r="X51" s="11">
        <f t="shared" si="54"/>
        <v>0</v>
      </c>
      <c r="Y51" s="11">
        <f t="shared" si="70"/>
        <v>57</v>
      </c>
      <c r="Z51" s="2">
        <f t="shared" si="55"/>
        <v>50.45</v>
      </c>
      <c r="AA51" s="11">
        <f t="shared" si="71"/>
        <v>1.5</v>
      </c>
      <c r="AB51" s="11">
        <f t="shared" si="56"/>
        <v>21.13</v>
      </c>
      <c r="AC51" s="11">
        <f t="shared" si="72"/>
        <v>9</v>
      </c>
      <c r="AD51" s="11">
        <f t="shared" si="57"/>
        <v>14.52</v>
      </c>
      <c r="AE51" s="11">
        <f t="shared" si="73"/>
        <v>20</v>
      </c>
      <c r="AF51" s="2">
        <f t="shared" si="58"/>
        <v>17.920000000000002</v>
      </c>
      <c r="AG51" s="11">
        <f t="shared" si="74"/>
        <v>4</v>
      </c>
      <c r="AH51" s="11">
        <f t="shared" si="59"/>
        <v>22.86</v>
      </c>
      <c r="AI51" s="11">
        <f t="shared" si="75"/>
        <v>10</v>
      </c>
      <c r="AJ51" s="11">
        <f t="shared" si="60"/>
        <v>16.670000000000002</v>
      </c>
      <c r="AK51" s="2">
        <f t="shared" si="61"/>
        <v>45.26</v>
      </c>
      <c r="AL51" s="2">
        <f t="shared" si="62"/>
        <v>47.51</v>
      </c>
      <c r="AM51" s="2">
        <f t="shared" si="63"/>
        <v>47.27</v>
      </c>
    </row>
    <row r="52" spans="1:39" x14ac:dyDescent="0.25">
      <c r="A52" s="13">
        <v>51</v>
      </c>
      <c r="B52" s="2" t="s">
        <v>20</v>
      </c>
      <c r="C52" s="2">
        <f t="shared" si="38"/>
        <v>51</v>
      </c>
      <c r="D52" s="2">
        <v>203</v>
      </c>
      <c r="E52" s="2">
        <f t="shared" si="39"/>
        <v>44.99</v>
      </c>
      <c r="F52" s="2">
        <v>175</v>
      </c>
      <c r="G52" s="2">
        <f t="shared" si="40"/>
        <v>49.43</v>
      </c>
      <c r="H52" s="2" t="b">
        <f t="shared" si="41"/>
        <v>0</v>
      </c>
      <c r="I52" s="41">
        <f t="shared" si="42"/>
        <v>50.2</v>
      </c>
      <c r="J52" s="41">
        <f t="shared" si="43"/>
        <v>65.5</v>
      </c>
      <c r="K52" s="41">
        <f t="shared" si="44"/>
        <v>79.400000000000006</v>
      </c>
      <c r="L52" s="41">
        <f t="shared" si="45"/>
        <v>85.7</v>
      </c>
      <c r="M52" s="11">
        <f t="shared" si="46"/>
        <v>91</v>
      </c>
      <c r="N52" s="2">
        <f t="shared" si="47"/>
        <v>50</v>
      </c>
      <c r="O52" s="11">
        <f t="shared" si="48"/>
        <v>3.9</v>
      </c>
      <c r="P52" s="11">
        <f t="shared" si="49"/>
        <v>8.42</v>
      </c>
      <c r="Q52" s="11">
        <f t="shared" si="50"/>
        <v>12</v>
      </c>
      <c r="R52" s="11">
        <f t="shared" si="51"/>
        <v>14.93</v>
      </c>
      <c r="S52" s="11">
        <v>192</v>
      </c>
      <c r="T52" s="2">
        <f t="shared" si="52"/>
        <v>100</v>
      </c>
      <c r="U52" s="11">
        <v>0</v>
      </c>
      <c r="V52" s="11">
        <f t="shared" si="53"/>
        <v>0</v>
      </c>
      <c r="W52" s="11">
        <v>0</v>
      </c>
      <c r="X52" s="11">
        <f t="shared" si="54"/>
        <v>0</v>
      </c>
      <c r="Y52" s="11">
        <f t="shared" si="70"/>
        <v>29</v>
      </c>
      <c r="Z52" s="2">
        <f t="shared" si="55"/>
        <v>25.23</v>
      </c>
      <c r="AA52" s="11">
        <f t="shared" si="71"/>
        <v>2.2000000000000002</v>
      </c>
      <c r="AB52" s="11">
        <f t="shared" si="56"/>
        <v>30.99</v>
      </c>
      <c r="AC52" s="11">
        <f t="shared" si="72"/>
        <v>11</v>
      </c>
      <c r="AD52" s="11">
        <f t="shared" si="57"/>
        <v>17.739999999999998</v>
      </c>
      <c r="AE52" s="11">
        <f t="shared" si="73"/>
        <v>13</v>
      </c>
      <c r="AF52" s="2">
        <f t="shared" si="58"/>
        <v>11.32</v>
      </c>
      <c r="AG52" s="11">
        <f t="shared" si="74"/>
        <v>6.1</v>
      </c>
      <c r="AH52" s="11">
        <f t="shared" si="59"/>
        <v>34.86</v>
      </c>
      <c r="AI52" s="11">
        <f t="shared" si="75"/>
        <v>11</v>
      </c>
      <c r="AJ52" s="11">
        <f t="shared" si="60"/>
        <v>18.329999999999998</v>
      </c>
      <c r="AK52" s="2">
        <f t="shared" si="61"/>
        <v>50.48</v>
      </c>
      <c r="AL52" s="2">
        <f t="shared" si="62"/>
        <v>46.93</v>
      </c>
      <c r="AM52" s="2">
        <f t="shared" si="63"/>
        <v>48.96</v>
      </c>
    </row>
    <row r="53" spans="1:39" x14ac:dyDescent="0.25">
      <c r="A53" s="13">
        <v>52</v>
      </c>
      <c r="B53" s="2" t="s">
        <v>114</v>
      </c>
      <c r="C53" s="2">
        <f t="shared" si="38"/>
        <v>52</v>
      </c>
      <c r="D53" s="2">
        <v>141</v>
      </c>
      <c r="E53" s="2">
        <f t="shared" si="39"/>
        <v>31.18</v>
      </c>
      <c r="F53" s="2">
        <v>175</v>
      </c>
      <c r="G53" s="2">
        <f t="shared" si="40"/>
        <v>49.43</v>
      </c>
      <c r="H53" s="2" t="b">
        <f t="shared" si="41"/>
        <v>1</v>
      </c>
      <c r="I53" s="41">
        <f t="shared" si="42"/>
        <v>53.3</v>
      </c>
      <c r="J53" s="41">
        <f t="shared" si="43"/>
        <v>65.5</v>
      </c>
      <c r="K53" s="41">
        <f t="shared" si="44"/>
        <v>73.400000000000006</v>
      </c>
      <c r="L53" s="41">
        <f t="shared" si="45"/>
        <v>90.9</v>
      </c>
      <c r="M53" s="11">
        <f t="shared" si="46"/>
        <v>83</v>
      </c>
      <c r="N53" s="2">
        <f t="shared" si="47"/>
        <v>45.56</v>
      </c>
      <c r="O53" s="11">
        <f t="shared" si="48"/>
        <v>4.2</v>
      </c>
      <c r="P53" s="11">
        <f t="shared" si="49"/>
        <v>9.07</v>
      </c>
      <c r="Q53" s="11">
        <f t="shared" si="50"/>
        <v>8</v>
      </c>
      <c r="R53" s="11">
        <f t="shared" si="51"/>
        <v>8.9600000000000009</v>
      </c>
      <c r="S53" s="11">
        <f>VLOOKUP(B53,Theory_Rank,2,FALSE)</f>
        <v>148</v>
      </c>
      <c r="T53" s="2">
        <f t="shared" si="52"/>
        <v>76.959999999999994</v>
      </c>
      <c r="U53" s="11">
        <f>VLOOKUP(B53,Theory_Rank,3,FALSE)</f>
        <v>1.2</v>
      </c>
      <c r="V53" s="11">
        <f t="shared" si="53"/>
        <v>9.3800000000000008</v>
      </c>
      <c r="W53" s="11">
        <f>VLOOKUP(B53,Theory_Rank,4,FALSE)</f>
        <v>2</v>
      </c>
      <c r="X53" s="11">
        <f t="shared" si="54"/>
        <v>8.6999999999999993</v>
      </c>
      <c r="Y53" s="11">
        <f t="shared" si="70"/>
        <v>96</v>
      </c>
      <c r="Z53" s="2">
        <f t="shared" si="55"/>
        <v>85.59</v>
      </c>
      <c r="AA53" s="11">
        <f t="shared" si="71"/>
        <v>1.1000000000000001</v>
      </c>
      <c r="AB53" s="11">
        <f t="shared" si="56"/>
        <v>15.49</v>
      </c>
      <c r="AC53" s="11">
        <f t="shared" si="72"/>
        <v>3</v>
      </c>
      <c r="AD53" s="11">
        <f t="shared" si="57"/>
        <v>4.84</v>
      </c>
      <c r="AE53" s="11">
        <f t="shared" si="73"/>
        <v>58</v>
      </c>
      <c r="AF53" s="2">
        <f t="shared" si="58"/>
        <v>53.77</v>
      </c>
      <c r="AG53" s="11">
        <f t="shared" si="74"/>
        <v>1.9</v>
      </c>
      <c r="AH53" s="11">
        <f t="shared" si="59"/>
        <v>10.86</v>
      </c>
      <c r="AI53" s="11">
        <f t="shared" si="75"/>
        <v>6</v>
      </c>
      <c r="AJ53" s="11">
        <f t="shared" si="60"/>
        <v>10</v>
      </c>
      <c r="AK53" s="2">
        <f t="shared" si="61"/>
        <v>59.08</v>
      </c>
      <c r="AL53" s="2">
        <f t="shared" si="62"/>
        <v>44.32</v>
      </c>
      <c r="AM53" s="2">
        <f t="shared" si="63"/>
        <v>49.64</v>
      </c>
    </row>
    <row r="54" spans="1:39" x14ac:dyDescent="0.25">
      <c r="A54" s="13">
        <v>53</v>
      </c>
      <c r="B54" s="2" t="s">
        <v>52</v>
      </c>
      <c r="C54" s="2">
        <f t="shared" si="38"/>
        <v>53</v>
      </c>
      <c r="D54" s="2">
        <v>35</v>
      </c>
      <c r="E54" s="2">
        <f t="shared" si="39"/>
        <v>7.57</v>
      </c>
      <c r="F54" s="2">
        <v>75</v>
      </c>
      <c r="G54" s="2">
        <f t="shared" si="40"/>
        <v>21.02</v>
      </c>
      <c r="H54" s="2" t="b">
        <f t="shared" si="41"/>
        <v>1</v>
      </c>
      <c r="I54" s="41">
        <f t="shared" si="42"/>
        <v>64</v>
      </c>
      <c r="J54" s="41">
        <f t="shared" si="43"/>
        <v>80.7</v>
      </c>
      <c r="K54" s="41">
        <f t="shared" si="44"/>
        <v>64.599999999999994</v>
      </c>
      <c r="L54" s="41">
        <f t="shared" si="45"/>
        <v>74.7</v>
      </c>
      <c r="M54" s="11">
        <v>181</v>
      </c>
      <c r="N54" s="2">
        <f t="shared" si="47"/>
        <v>100</v>
      </c>
      <c r="O54" s="11">
        <v>0</v>
      </c>
      <c r="P54" s="11">
        <f t="shared" si="49"/>
        <v>0</v>
      </c>
      <c r="Q54" s="11">
        <v>2</v>
      </c>
      <c r="R54" s="11">
        <f t="shared" si="51"/>
        <v>0</v>
      </c>
      <c r="S54" s="11">
        <v>192</v>
      </c>
      <c r="T54" s="2">
        <f t="shared" si="52"/>
        <v>100</v>
      </c>
      <c r="U54" s="11">
        <v>0</v>
      </c>
      <c r="V54" s="11">
        <f t="shared" si="53"/>
        <v>0</v>
      </c>
      <c r="W54" s="11">
        <v>0</v>
      </c>
      <c r="X54" s="11">
        <f t="shared" si="54"/>
        <v>0</v>
      </c>
      <c r="Y54" s="11">
        <v>112</v>
      </c>
      <c r="Z54" s="2">
        <f t="shared" si="55"/>
        <v>100</v>
      </c>
      <c r="AA54" s="11">
        <v>0</v>
      </c>
      <c r="AB54" s="11">
        <f t="shared" si="56"/>
        <v>0</v>
      </c>
      <c r="AC54" s="11">
        <v>0</v>
      </c>
      <c r="AD54" s="11">
        <f t="shared" si="57"/>
        <v>0</v>
      </c>
      <c r="AE54" s="11">
        <v>107</v>
      </c>
      <c r="AF54" s="2">
        <f t="shared" si="58"/>
        <v>100</v>
      </c>
      <c r="AG54" s="11">
        <v>0</v>
      </c>
      <c r="AH54" s="11">
        <f t="shared" si="59"/>
        <v>0</v>
      </c>
      <c r="AI54" s="11">
        <v>0</v>
      </c>
      <c r="AJ54" s="11">
        <f t="shared" si="60"/>
        <v>0</v>
      </c>
      <c r="AK54" s="2">
        <f t="shared" si="61"/>
        <v>100</v>
      </c>
      <c r="AL54" s="2">
        <f t="shared" si="62"/>
        <v>38.880000000000003</v>
      </c>
      <c r="AM54" s="2">
        <f t="shared" si="63"/>
        <v>49.92</v>
      </c>
    </row>
    <row r="55" spans="1:39" x14ac:dyDescent="0.25">
      <c r="A55" s="13">
        <v>54</v>
      </c>
      <c r="B55" s="2" t="s">
        <v>51</v>
      </c>
      <c r="C55" s="2">
        <f t="shared" si="38"/>
        <v>54</v>
      </c>
      <c r="D55" s="2">
        <v>58</v>
      </c>
      <c r="E55" s="2">
        <f t="shared" si="39"/>
        <v>12.69</v>
      </c>
      <c r="F55" s="2">
        <v>75</v>
      </c>
      <c r="G55" s="2">
        <f t="shared" si="40"/>
        <v>21.02</v>
      </c>
      <c r="H55" s="2" t="b">
        <f t="shared" si="41"/>
        <v>1</v>
      </c>
      <c r="I55" s="41">
        <f t="shared" si="42"/>
        <v>63.3</v>
      </c>
      <c r="J55" s="41">
        <f t="shared" si="43"/>
        <v>78.7</v>
      </c>
      <c r="K55" s="41">
        <f t="shared" si="44"/>
        <v>64.099999999999994</v>
      </c>
      <c r="L55" s="41">
        <f t="shared" si="45"/>
        <v>74.400000000000006</v>
      </c>
      <c r="M55" s="11">
        <v>181</v>
      </c>
      <c r="N55" s="2">
        <f t="shared" si="47"/>
        <v>100</v>
      </c>
      <c r="O55" s="11">
        <v>0</v>
      </c>
      <c r="P55" s="11">
        <f t="shared" si="49"/>
        <v>0</v>
      </c>
      <c r="Q55" s="11">
        <v>2</v>
      </c>
      <c r="R55" s="11">
        <f t="shared" si="51"/>
        <v>0</v>
      </c>
      <c r="S55" s="11">
        <v>192</v>
      </c>
      <c r="T55" s="2">
        <f t="shared" si="52"/>
        <v>100</v>
      </c>
      <c r="U55" s="11">
        <v>0</v>
      </c>
      <c r="V55" s="11">
        <f t="shared" si="53"/>
        <v>0</v>
      </c>
      <c r="W55" s="11">
        <v>0</v>
      </c>
      <c r="X55" s="11">
        <f t="shared" si="54"/>
        <v>0</v>
      </c>
      <c r="Y55" s="11">
        <v>112</v>
      </c>
      <c r="Z55" s="2">
        <f t="shared" si="55"/>
        <v>100</v>
      </c>
      <c r="AA55" s="11">
        <v>0</v>
      </c>
      <c r="AB55" s="11">
        <f t="shared" si="56"/>
        <v>0</v>
      </c>
      <c r="AC55" s="11">
        <v>0</v>
      </c>
      <c r="AD55" s="11">
        <f t="shared" si="57"/>
        <v>0</v>
      </c>
      <c r="AE55" s="11">
        <v>107</v>
      </c>
      <c r="AF55" s="2">
        <f t="shared" si="58"/>
        <v>100</v>
      </c>
      <c r="AG55" s="11">
        <v>0</v>
      </c>
      <c r="AH55" s="11">
        <f t="shared" si="59"/>
        <v>0</v>
      </c>
      <c r="AI55" s="11">
        <v>0</v>
      </c>
      <c r="AJ55" s="11">
        <f t="shared" si="60"/>
        <v>0</v>
      </c>
      <c r="AK55" s="2">
        <f t="shared" si="61"/>
        <v>100</v>
      </c>
      <c r="AL55" s="2">
        <f t="shared" si="62"/>
        <v>38.630000000000003</v>
      </c>
      <c r="AM55" s="2">
        <f t="shared" si="63"/>
        <v>50.95</v>
      </c>
    </row>
    <row r="56" spans="1:39" x14ac:dyDescent="0.25">
      <c r="A56" s="13">
        <v>55</v>
      </c>
      <c r="B56" s="2" t="s">
        <v>419</v>
      </c>
      <c r="C56" s="2">
        <f t="shared" si="38"/>
        <v>55</v>
      </c>
      <c r="D56" s="2">
        <v>279</v>
      </c>
      <c r="E56" s="2">
        <f t="shared" si="39"/>
        <v>61.92</v>
      </c>
      <c r="F56" s="2">
        <v>175</v>
      </c>
      <c r="G56" s="2">
        <f t="shared" si="40"/>
        <v>49.43</v>
      </c>
      <c r="H56" s="2" t="b">
        <f t="shared" si="41"/>
        <v>0</v>
      </c>
      <c r="I56" s="41">
        <f t="shared" si="42"/>
        <v>50.7</v>
      </c>
      <c r="J56" s="41">
        <f t="shared" si="43"/>
        <v>58.6</v>
      </c>
      <c r="K56" s="41">
        <f t="shared" si="44"/>
        <v>81.400000000000006</v>
      </c>
      <c r="L56" s="41">
        <f t="shared" si="45"/>
        <v>92.8</v>
      </c>
      <c r="M56" s="11">
        <f>VLOOKUP(B56,AI_Rank,2,FALSE)</f>
        <v>172</v>
      </c>
      <c r="N56" s="2">
        <f t="shared" si="47"/>
        <v>95</v>
      </c>
      <c r="O56" s="11">
        <f>VLOOKUP(B56,AI_Rank,3,FALSE)</f>
        <v>1.8</v>
      </c>
      <c r="P56" s="11">
        <f t="shared" si="49"/>
        <v>3.89</v>
      </c>
      <c r="Q56" s="11">
        <f>VLOOKUP(B56,AI_Rank,4,FALSE)</f>
        <v>10</v>
      </c>
      <c r="R56" s="11">
        <f t="shared" si="51"/>
        <v>11.94</v>
      </c>
      <c r="S56" s="11">
        <f>VLOOKUP(B56,Theory_Rank,2,FALSE)</f>
        <v>110</v>
      </c>
      <c r="T56" s="2">
        <f t="shared" si="52"/>
        <v>57.07</v>
      </c>
      <c r="U56" s="11">
        <f>VLOOKUP(B56,Theory_Rank,3,FALSE)</f>
        <v>1.7</v>
      </c>
      <c r="V56" s="11">
        <f t="shared" si="53"/>
        <v>13.28</v>
      </c>
      <c r="W56" s="11">
        <f>VLOOKUP(B56,Theory_Rank,4,FALSE)</f>
        <v>2</v>
      </c>
      <c r="X56" s="11">
        <f t="shared" si="54"/>
        <v>8.6999999999999993</v>
      </c>
      <c r="Y56" s="11">
        <f>VLOOKUP(B56,Systems_Rank,2,FALSE)</f>
        <v>25</v>
      </c>
      <c r="Z56" s="2">
        <f t="shared" si="55"/>
        <v>21.62</v>
      </c>
      <c r="AA56" s="11">
        <f>VLOOKUP(B56,Systems_Rank,3,FALSE)</f>
        <v>2.5</v>
      </c>
      <c r="AB56" s="11">
        <f t="shared" si="56"/>
        <v>35.21</v>
      </c>
      <c r="AC56" s="11">
        <f>VLOOKUP(B56,Systems_Rank,4,FALSE)</f>
        <v>17</v>
      </c>
      <c r="AD56" s="11">
        <f t="shared" si="57"/>
        <v>27.42</v>
      </c>
      <c r="AE56" s="11">
        <f>VLOOKUP(B56,InterD_Rank,2,FALSE)</f>
        <v>65</v>
      </c>
      <c r="AF56" s="2">
        <f t="shared" si="58"/>
        <v>60.38</v>
      </c>
      <c r="AG56" s="11">
        <f>VLOOKUP(B56,InterD_Rank,3,FALSE)</f>
        <v>1.7</v>
      </c>
      <c r="AH56" s="11">
        <f t="shared" si="59"/>
        <v>9.7100000000000009</v>
      </c>
      <c r="AI56" s="11">
        <f>VLOOKUP(B56,InterD_Rank,4,FALSE)</f>
        <v>6</v>
      </c>
      <c r="AJ56" s="11">
        <f t="shared" si="60"/>
        <v>10</v>
      </c>
      <c r="AK56" s="2">
        <f t="shared" si="61"/>
        <v>71.209999999999994</v>
      </c>
      <c r="AL56" s="2">
        <f t="shared" si="62"/>
        <v>45.43</v>
      </c>
      <c r="AM56" s="2">
        <f t="shared" si="63"/>
        <v>60.64</v>
      </c>
    </row>
    <row r="57" spans="1:39" x14ac:dyDescent="0.25">
      <c r="A57" s="13">
        <v>56</v>
      </c>
      <c r="B57" s="2" t="s">
        <v>32</v>
      </c>
      <c r="C57" s="2">
        <f t="shared" si="38"/>
        <v>56</v>
      </c>
      <c r="D57" s="2">
        <v>180</v>
      </c>
      <c r="E57" s="2">
        <f t="shared" si="39"/>
        <v>39.869999999999997</v>
      </c>
      <c r="F57" s="2">
        <v>225</v>
      </c>
      <c r="G57" s="2">
        <f t="shared" si="40"/>
        <v>63.64</v>
      </c>
      <c r="H57" s="2" t="b">
        <f t="shared" si="41"/>
        <v>1</v>
      </c>
      <c r="I57" s="41">
        <f t="shared" si="42"/>
        <v>49.4</v>
      </c>
      <c r="J57" s="41">
        <f t="shared" si="43"/>
        <v>60.8</v>
      </c>
      <c r="K57" s="41">
        <f t="shared" si="44"/>
        <v>74.5</v>
      </c>
      <c r="L57" s="41">
        <f t="shared" si="45"/>
        <v>88.4</v>
      </c>
      <c r="M57" s="11">
        <f>VLOOKUP(B57,AI_Rank,2,FALSE)</f>
        <v>153</v>
      </c>
      <c r="N57" s="2">
        <f t="shared" si="47"/>
        <v>84.44</v>
      </c>
      <c r="O57" s="11">
        <f>VLOOKUP(B57,AI_Rank,3,FALSE)</f>
        <v>2.1</v>
      </c>
      <c r="P57" s="11">
        <f t="shared" si="49"/>
        <v>4.54</v>
      </c>
      <c r="Q57" s="11">
        <f>VLOOKUP(B57,AI_Rank,4,FALSE)</f>
        <v>8</v>
      </c>
      <c r="R57" s="11">
        <f t="shared" si="51"/>
        <v>8.9600000000000009</v>
      </c>
      <c r="S57" s="11">
        <f>VLOOKUP(B57,Theory_Rank,2,FALSE)</f>
        <v>126</v>
      </c>
      <c r="T57" s="2">
        <f t="shared" si="52"/>
        <v>65.45</v>
      </c>
      <c r="U57" s="11">
        <f>VLOOKUP(B57,Theory_Rank,3,FALSE)</f>
        <v>1.4</v>
      </c>
      <c r="V57" s="11">
        <f t="shared" si="53"/>
        <v>10.94</v>
      </c>
      <c r="W57" s="11">
        <f>VLOOKUP(B57,Theory_Rank,4,FALSE)</f>
        <v>1</v>
      </c>
      <c r="X57" s="11">
        <f t="shared" si="54"/>
        <v>4.3499999999999996</v>
      </c>
      <c r="Y57" s="11">
        <f>VLOOKUP(B57,Systems_Rank,2,FALSE)</f>
        <v>59</v>
      </c>
      <c r="Z57" s="2">
        <f t="shared" si="55"/>
        <v>52.25</v>
      </c>
      <c r="AA57" s="11">
        <f>VLOOKUP(B57,Systems_Rank,3,FALSE)</f>
        <v>1.4</v>
      </c>
      <c r="AB57" s="11">
        <f t="shared" si="56"/>
        <v>19.72</v>
      </c>
      <c r="AC57" s="11">
        <f>VLOOKUP(B57,Systems_Rank,4,FALSE)</f>
        <v>8</v>
      </c>
      <c r="AD57" s="11">
        <f t="shared" si="57"/>
        <v>12.9</v>
      </c>
      <c r="AE57" s="11">
        <f>VLOOKUP(B57,InterD_Rank,2,FALSE)</f>
        <v>58</v>
      </c>
      <c r="AF57" s="2">
        <f t="shared" si="58"/>
        <v>53.77</v>
      </c>
      <c r="AG57" s="11">
        <f>VLOOKUP(B57,InterD_Rank,3,FALSE)</f>
        <v>1.9</v>
      </c>
      <c r="AH57" s="11">
        <f t="shared" si="59"/>
        <v>10.86</v>
      </c>
      <c r="AI57" s="11">
        <f>VLOOKUP(B57,InterD_Rank,4,FALSE)</f>
        <v>5</v>
      </c>
      <c r="AJ57" s="11">
        <f t="shared" si="60"/>
        <v>8.33</v>
      </c>
      <c r="AK57" s="2">
        <f t="shared" si="61"/>
        <v>71.209999999999994</v>
      </c>
      <c r="AL57" s="2">
        <f t="shared" si="62"/>
        <v>42.52</v>
      </c>
      <c r="AM57" s="2">
        <f t="shared" si="63"/>
        <v>61.91</v>
      </c>
    </row>
    <row r="58" spans="1:39" x14ac:dyDescent="0.25">
      <c r="A58" s="13">
        <v>57</v>
      </c>
      <c r="B58" s="2" t="s">
        <v>438</v>
      </c>
      <c r="C58" s="2">
        <f t="shared" si="38"/>
        <v>57</v>
      </c>
      <c r="D58" s="2">
        <v>450</v>
      </c>
      <c r="E58" s="2">
        <f t="shared" si="39"/>
        <v>100</v>
      </c>
      <c r="F58" s="2">
        <v>353</v>
      </c>
      <c r="G58" s="2">
        <f t="shared" si="40"/>
        <v>100</v>
      </c>
      <c r="H58" s="2" t="b">
        <f t="shared" si="41"/>
        <v>0</v>
      </c>
      <c r="I58" s="41">
        <v>30.884152516916572</v>
      </c>
      <c r="J58" s="41">
        <v>39.450696878377585</v>
      </c>
      <c r="K58" s="41">
        <v>57.131833893930533</v>
      </c>
      <c r="L58" s="41">
        <v>70.736114709936729</v>
      </c>
      <c r="M58" s="11">
        <f>VLOOKUP(B58,AI_Rank,2,FALSE)</f>
        <v>44</v>
      </c>
      <c r="N58" s="2">
        <f t="shared" si="47"/>
        <v>23.89</v>
      </c>
      <c r="O58" s="11">
        <f>VLOOKUP(B58,AI_Rank,3,FALSE)</f>
        <v>6.1</v>
      </c>
      <c r="P58" s="11">
        <f t="shared" si="49"/>
        <v>13.17</v>
      </c>
      <c r="Q58" s="11">
        <f>VLOOKUP(B58,AI_Rank,4,FALSE)</f>
        <v>10</v>
      </c>
      <c r="R58" s="11">
        <f t="shared" si="51"/>
        <v>11.94</v>
      </c>
      <c r="S58" s="11">
        <f>VLOOKUP(B58,Theory_Rank,2,FALSE)</f>
        <v>55</v>
      </c>
      <c r="T58" s="2">
        <f t="shared" si="52"/>
        <v>28.27</v>
      </c>
      <c r="U58" s="11">
        <f>VLOOKUP(B58,Theory_Rank,3,FALSE)</f>
        <v>2.8</v>
      </c>
      <c r="V58" s="11">
        <f t="shared" si="53"/>
        <v>21.88</v>
      </c>
      <c r="W58" s="11">
        <f>VLOOKUP(B58,Theory_Rank,4,FALSE)</f>
        <v>3</v>
      </c>
      <c r="X58" s="11">
        <f t="shared" si="54"/>
        <v>13.04</v>
      </c>
      <c r="Y58" s="11">
        <f>VLOOKUP(B58,Systems_Rank,2,FALSE)</f>
        <v>39</v>
      </c>
      <c r="Z58" s="2">
        <f t="shared" si="55"/>
        <v>34.229999999999997</v>
      </c>
      <c r="AA58" s="11">
        <f>VLOOKUP(B58,Systems_Rank,3,FALSE)</f>
        <v>1.8</v>
      </c>
      <c r="AB58" s="11">
        <f t="shared" si="56"/>
        <v>25.35</v>
      </c>
      <c r="AC58" s="11">
        <f>VLOOKUP(B58,Systems_Rank,4,FALSE)</f>
        <v>17</v>
      </c>
      <c r="AD58" s="11">
        <f t="shared" si="57"/>
        <v>27.42</v>
      </c>
      <c r="AE58" s="11">
        <f>VLOOKUP(B58,InterD_Rank,2,FALSE)</f>
        <v>50</v>
      </c>
      <c r="AF58" s="2">
        <f t="shared" si="58"/>
        <v>46.23</v>
      </c>
      <c r="AG58" s="11">
        <f>VLOOKUP(B58,InterD_Rank,3,FALSE)</f>
        <v>2.1</v>
      </c>
      <c r="AH58" s="11">
        <f t="shared" si="59"/>
        <v>12</v>
      </c>
      <c r="AI58" s="11">
        <f>VLOOKUP(B58,InterD_Rank,4,FALSE)</f>
        <v>7</v>
      </c>
      <c r="AJ58" s="11">
        <f t="shared" si="60"/>
        <v>11.67</v>
      </c>
      <c r="AK58" s="2">
        <f t="shared" si="61"/>
        <v>29.67</v>
      </c>
      <c r="AL58" s="2">
        <f t="shared" si="62"/>
        <v>34.64</v>
      </c>
      <c r="AM58" s="2">
        <f t="shared" si="63"/>
        <v>71.87</v>
      </c>
    </row>
    <row r="59" spans="1:39" x14ac:dyDescent="0.25">
      <c r="A59" s="13">
        <v>58</v>
      </c>
      <c r="B59" s="2" t="s">
        <v>406</v>
      </c>
      <c r="C59" s="2">
        <f t="shared" si="38"/>
        <v>58</v>
      </c>
      <c r="D59" s="2">
        <v>384</v>
      </c>
      <c r="E59" s="2">
        <f t="shared" si="39"/>
        <v>85.3</v>
      </c>
      <c r="F59" s="2">
        <v>325</v>
      </c>
      <c r="G59" s="2">
        <f t="shared" si="40"/>
        <v>92.05</v>
      </c>
      <c r="H59" s="2" t="b">
        <f t="shared" si="41"/>
        <v>0</v>
      </c>
      <c r="I59" s="41">
        <f>VLOOKUP(B59,Uni_TU_Lkp,6,FALSE)</f>
        <v>40.299999999999997</v>
      </c>
      <c r="J59" s="41">
        <f>VLOOKUP(B59,Uni_TU_Lkp,7,FALSE)</f>
        <v>53.9</v>
      </c>
      <c r="K59" s="41">
        <f>VLOOKUP(B59,Uni_TU_Lkp,8,FALSE)</f>
        <v>77.900000000000006</v>
      </c>
      <c r="L59" s="41">
        <f>VLOOKUP(B59,Uni_TU_Lkp,9,FALSE)</f>
        <v>93.2</v>
      </c>
      <c r="M59" s="11">
        <f>VLOOKUP(B59,AI_Rank,2,FALSE)</f>
        <v>131</v>
      </c>
      <c r="N59" s="2">
        <f t="shared" si="47"/>
        <v>72.22</v>
      </c>
      <c r="O59" s="11">
        <f>VLOOKUP(B59,AI_Rank,3,FALSE)</f>
        <v>2.4</v>
      </c>
      <c r="P59" s="11">
        <f t="shared" si="49"/>
        <v>5.18</v>
      </c>
      <c r="Q59" s="11">
        <f>VLOOKUP(B59,AI_Rank,4,FALSE)</f>
        <v>9</v>
      </c>
      <c r="R59" s="11">
        <f t="shared" si="51"/>
        <v>10.45</v>
      </c>
      <c r="S59" s="11">
        <f>VLOOKUP(B59,Theory_Rank,2,FALSE)</f>
        <v>110</v>
      </c>
      <c r="T59" s="2">
        <f t="shared" si="52"/>
        <v>57.07</v>
      </c>
      <c r="U59" s="11">
        <f>VLOOKUP(B59,Theory_Rank,3,FALSE)</f>
        <v>1.7</v>
      </c>
      <c r="V59" s="11">
        <f t="shared" si="53"/>
        <v>13.28</v>
      </c>
      <c r="W59" s="11">
        <f>VLOOKUP(B59,Theory_Rank,4,FALSE)</f>
        <v>4</v>
      </c>
      <c r="X59" s="11">
        <f t="shared" si="54"/>
        <v>17.39</v>
      </c>
      <c r="Y59" s="11">
        <f>VLOOKUP(B59,Systems_Rank,2,FALSE)</f>
        <v>15</v>
      </c>
      <c r="Z59" s="2">
        <f t="shared" si="55"/>
        <v>12.61</v>
      </c>
      <c r="AA59" s="11">
        <f>VLOOKUP(B59,Systems_Rank,3,FALSE)</f>
        <v>3.2</v>
      </c>
      <c r="AB59" s="11">
        <f t="shared" si="56"/>
        <v>45.07</v>
      </c>
      <c r="AC59" s="11">
        <f>VLOOKUP(B59,Systems_Rank,4,FALSE)</f>
        <v>25</v>
      </c>
      <c r="AD59" s="11">
        <f t="shared" si="57"/>
        <v>40.32</v>
      </c>
      <c r="AE59" s="11">
        <f>VLOOKUP(B59,InterD_Rank,2,FALSE)</f>
        <v>96</v>
      </c>
      <c r="AF59" s="2">
        <f t="shared" si="58"/>
        <v>89.62</v>
      </c>
      <c r="AG59" s="11">
        <f>VLOOKUP(B59,InterD_Rank,3,FALSE)</f>
        <v>1.2</v>
      </c>
      <c r="AH59" s="11">
        <f t="shared" si="59"/>
        <v>6.86</v>
      </c>
      <c r="AI59" s="11">
        <f>VLOOKUP(B59,InterD_Rank,4,FALSE)</f>
        <v>2</v>
      </c>
      <c r="AJ59" s="11">
        <f t="shared" si="60"/>
        <v>3.33</v>
      </c>
      <c r="AK59" s="2">
        <f t="shared" si="61"/>
        <v>62.86</v>
      </c>
      <c r="AL59" s="2">
        <f t="shared" si="62"/>
        <v>43.48</v>
      </c>
      <c r="AM59" s="2">
        <f t="shared" si="63"/>
        <v>79.02</v>
      </c>
    </row>
    <row r="60" spans="1:39" x14ac:dyDescent="0.25">
      <c r="A60" s="93"/>
      <c r="B60" s="39" t="s">
        <v>627</v>
      </c>
      <c r="C60" s="39"/>
      <c r="D60" s="39">
        <f>AVERAGE(D2:D59)</f>
        <v>82.275862068965523</v>
      </c>
      <c r="E60" s="39"/>
      <c r="F60" s="39">
        <f>AVERAGE(F2:F59)</f>
        <v>79.672413793103445</v>
      </c>
      <c r="G60" s="39"/>
      <c r="H60" s="39"/>
      <c r="I60" s="39">
        <f>AVERAGE(I2:I59)</f>
        <v>67.775588836498571</v>
      </c>
      <c r="J60" s="39">
        <f>AVERAGE(J2:J59)</f>
        <v>73.814667187558214</v>
      </c>
      <c r="K60" s="39">
        <f>AVERAGE(K2:K59)</f>
        <v>81.145376446447102</v>
      </c>
      <c r="L60" s="39">
        <f>AVERAGE(L2:L59)</f>
        <v>90.910967494998872</v>
      </c>
      <c r="M60" s="39">
        <f>AVERAGE(M2:M59)</f>
        <v>61.775862068965516</v>
      </c>
      <c r="N60" s="39"/>
      <c r="O60" s="39">
        <f>AVERAGE(O2:O59)</f>
        <v>7.7034482758620699</v>
      </c>
      <c r="P60" s="39"/>
      <c r="Q60" s="39">
        <f>AVERAGE(Q2:Q59)</f>
        <v>18.551724137931036</v>
      </c>
      <c r="R60" s="39"/>
      <c r="S60" s="39">
        <f>AVERAGE(S2:S59)</f>
        <v>68.396551724137936</v>
      </c>
      <c r="T60" s="39"/>
      <c r="U60" s="39">
        <f>AVERAGE(U2:U59)</f>
        <v>3.828070175438596</v>
      </c>
      <c r="V60" s="39"/>
      <c r="W60" s="39">
        <f>AVERAGE(W2:W59)</f>
        <v>7.0877192982456139</v>
      </c>
      <c r="X60" s="39"/>
      <c r="Y60" s="39">
        <f>AVERAGE(Y2:Y59)</f>
        <v>45.53448275862069</v>
      </c>
      <c r="Z60" s="39"/>
      <c r="AA60" s="39">
        <f>AVERAGE(AA2:AA59)</f>
        <v>2.3155172413793106</v>
      </c>
      <c r="AB60" s="39"/>
      <c r="AC60" s="39">
        <f>AVERAGE(AC2:AC59)</f>
        <v>16.46551724137931</v>
      </c>
      <c r="AD60" s="39"/>
      <c r="AE60" s="39">
        <f>AVERAGE(AE2:AE59)</f>
        <v>50.672413793103445</v>
      </c>
      <c r="AF60" s="39"/>
      <c r="AG60" s="39">
        <f>AVERAGE(AG2:AG59)</f>
        <v>3.812280701754386</v>
      </c>
      <c r="AH60" s="39"/>
      <c r="AI60" s="39">
        <f>AVERAGE(AI2:AI59)</f>
        <v>8.7894736842105257</v>
      </c>
      <c r="AJ60" s="39"/>
      <c r="AK60" s="39"/>
      <c r="AL60" s="39"/>
      <c r="AM60" s="39"/>
    </row>
    <row r="61" spans="1:39" x14ac:dyDescent="0.25">
      <c r="A61" s="93"/>
      <c r="B61" s="39" t="s">
        <v>628</v>
      </c>
      <c r="C61" s="39"/>
      <c r="D61" s="39">
        <f>_xlfn.STDEV.P(D2:D59)</f>
        <v>92.48146004385444</v>
      </c>
      <c r="E61" s="39"/>
      <c r="F61" s="39">
        <f>_xlfn.STDEV.P(F2:F59)</f>
        <v>77.992127792629674</v>
      </c>
      <c r="G61" s="39"/>
      <c r="H61" s="39"/>
      <c r="I61" s="39">
        <f>_xlfn.STDEV.P(I2:I59)</f>
        <v>13.33227561150777</v>
      </c>
      <c r="J61" s="39">
        <f>_xlfn.STDEV.P(J2:J59)</f>
        <v>12.418869227503697</v>
      </c>
      <c r="K61" s="39">
        <f>_xlfn.STDEV.P(K2:K59)</f>
        <v>8.6783058524851526</v>
      </c>
      <c r="L61" s="39">
        <f>_xlfn.STDEV.P(L2:L59)</f>
        <v>5.7468361511685799</v>
      </c>
      <c r="M61" s="39">
        <f>_xlfn.STDEV.P(M2:M59)</f>
        <v>46.523276748626067</v>
      </c>
      <c r="N61" s="39"/>
      <c r="O61" s="39">
        <f>_xlfn.STDEV.P(O2:O59)</f>
        <v>6.9139031722255702</v>
      </c>
      <c r="P61" s="39"/>
      <c r="Q61" s="39">
        <f>_xlfn.STDEV.P(Q2:Q59)</f>
        <v>11.543280496182845</v>
      </c>
      <c r="R61" s="39"/>
      <c r="S61" s="39">
        <f>_xlfn.STDEV.P(S2:S59)</f>
        <v>57.4699140645969</v>
      </c>
      <c r="T61" s="39"/>
      <c r="U61" s="39">
        <f>_xlfn.STDEV.P(U2:U59)</f>
        <v>2.845788170413408</v>
      </c>
      <c r="V61" s="39"/>
      <c r="W61" s="39">
        <f>_xlfn.STDEV.P(W2:W59)</f>
        <v>5.4556608352496312</v>
      </c>
      <c r="X61" s="39"/>
      <c r="Y61" s="39">
        <f>_xlfn.STDEV.P(Y2:Y59)</f>
        <v>38.765971354749887</v>
      </c>
      <c r="Z61" s="39"/>
      <c r="AA61" s="39">
        <f>_xlfn.STDEV.P(AA2:AA59)</f>
        <v>1.7681864588190384</v>
      </c>
      <c r="AB61" s="39"/>
      <c r="AC61" s="39">
        <f>_xlfn.STDEV.P(AC2:AC59)</f>
        <v>13.336772495417708</v>
      </c>
      <c r="AD61" s="39"/>
      <c r="AE61" s="39">
        <f>_xlfn.STDEV.P(AE2:AE59)</f>
        <v>37.070012014097422</v>
      </c>
      <c r="AF61" s="39"/>
      <c r="AG61" s="39">
        <f>_xlfn.STDEV.P(AG2:AG59)</f>
        <v>4.1597937775908687</v>
      </c>
      <c r="AH61" s="39"/>
      <c r="AI61" s="39">
        <f>_xlfn.STDEV.P(AI2:AI59)</f>
        <v>10.279833506238033</v>
      </c>
      <c r="AJ61" s="39"/>
      <c r="AK61" s="39"/>
      <c r="AL61" s="39"/>
      <c r="AM61" s="39"/>
    </row>
    <row r="62" spans="1:39" x14ac:dyDescent="0.25">
      <c r="A62" s="93"/>
      <c r="B62" s="39" t="s">
        <v>629</v>
      </c>
      <c r="C62" s="39"/>
      <c r="D62" s="39">
        <f>MAX(D2:D59)</f>
        <v>450</v>
      </c>
      <c r="E62" s="39"/>
      <c r="F62" s="39">
        <f>MAX(F2:F59)</f>
        <v>353</v>
      </c>
      <c r="G62" s="39"/>
      <c r="H62" s="39"/>
      <c r="I62" s="39">
        <f>MAX(I2:I59)</f>
        <v>100</v>
      </c>
      <c r="J62" s="39">
        <f>MAX(J2:J59)</f>
        <v>100</v>
      </c>
      <c r="K62" s="39">
        <f>MAX(K2:K59)</f>
        <v>100</v>
      </c>
      <c r="L62" s="39">
        <f>MAX(L2:L59)</f>
        <v>100</v>
      </c>
      <c r="M62" s="39">
        <f>MAX(M2:M59)</f>
        <v>181</v>
      </c>
      <c r="N62" s="39"/>
      <c r="O62" s="39">
        <f>MAX(O2:O59)</f>
        <v>46.3</v>
      </c>
      <c r="P62" s="39"/>
      <c r="Q62" s="39">
        <f>MAX(Q2:Q59)</f>
        <v>69</v>
      </c>
      <c r="R62" s="39"/>
      <c r="S62" s="39">
        <f>MAX(S2:S59)</f>
        <v>192</v>
      </c>
      <c r="T62" s="39"/>
      <c r="U62" s="39">
        <f>MAX(U2:U59)</f>
        <v>12.8</v>
      </c>
      <c r="V62" s="39"/>
      <c r="W62" s="39">
        <f>MAX(W2:W59)</f>
        <v>23</v>
      </c>
      <c r="X62" s="39"/>
      <c r="Y62" s="39">
        <f>MAX(Y2:Y59)</f>
        <v>112</v>
      </c>
      <c r="Z62" s="39"/>
      <c r="AA62" s="39">
        <f>MAX(AA2:AA59)</f>
        <v>7.1</v>
      </c>
      <c r="AB62" s="39"/>
      <c r="AC62" s="39">
        <f>MAX(AC2:AC59)</f>
        <v>62</v>
      </c>
      <c r="AD62" s="39"/>
      <c r="AE62" s="39">
        <f>MAX(AE2:AE59)</f>
        <v>107</v>
      </c>
      <c r="AF62" s="39"/>
      <c r="AG62" s="39">
        <f>MAX(AG2:AG59)</f>
        <v>17.5</v>
      </c>
      <c r="AH62" s="39"/>
      <c r="AI62" s="39">
        <f>MAX(AI2:AI59)</f>
        <v>60</v>
      </c>
      <c r="AJ62" s="39"/>
      <c r="AK62" s="39"/>
      <c r="AL62" s="39"/>
      <c r="AM62" s="39"/>
    </row>
    <row r="63" spans="1:39" x14ac:dyDescent="0.25">
      <c r="A63" s="93"/>
      <c r="B63" s="39"/>
      <c r="C63" s="39"/>
      <c r="D63" s="39">
        <f>MIN(D2:D59)</f>
        <v>1</v>
      </c>
      <c r="E63" s="39"/>
      <c r="F63" s="39">
        <f>MIN(F2:F59)</f>
        <v>1</v>
      </c>
      <c r="G63" s="39"/>
      <c r="H63" s="39"/>
      <c r="I63" s="39">
        <f>MIN(I2:I59)</f>
        <v>30.884152516916572</v>
      </c>
      <c r="J63" s="39">
        <f>MIN(J2:J59)</f>
        <v>39.450696878377585</v>
      </c>
      <c r="K63" s="39">
        <f>MIN(K2:K59)</f>
        <v>57.131833893930533</v>
      </c>
      <c r="L63" s="39">
        <f>MIN(L2:L59)</f>
        <v>70.736114709936729</v>
      </c>
      <c r="M63" s="39">
        <f>MIN(M2:M59)</f>
        <v>1</v>
      </c>
      <c r="N63" s="39"/>
      <c r="O63" s="39">
        <f>MIN(O2:O59)</f>
        <v>0</v>
      </c>
      <c r="P63" s="39"/>
      <c r="Q63" s="39">
        <f>MIN(Q2:Q59)</f>
        <v>2</v>
      </c>
      <c r="R63" s="39"/>
      <c r="S63" s="39">
        <f>MIN(S2:S59)</f>
        <v>1</v>
      </c>
      <c r="T63" s="39"/>
      <c r="U63" s="39">
        <f>MIN(U2:U59)</f>
        <v>0</v>
      </c>
      <c r="V63" s="39"/>
      <c r="W63" s="39">
        <f>MIN(W2:W59)</f>
        <v>0</v>
      </c>
      <c r="X63" s="39"/>
      <c r="Y63" s="39">
        <f>MIN(Y2:Y59)</f>
        <v>1</v>
      </c>
      <c r="Z63" s="39"/>
      <c r="AA63" s="39">
        <f>MIN(AA2:AA59)</f>
        <v>0</v>
      </c>
      <c r="AB63" s="39"/>
      <c r="AC63" s="39">
        <f>MIN(AC2:AC59)</f>
        <v>0</v>
      </c>
      <c r="AD63" s="39"/>
      <c r="AE63" s="39">
        <f>MIN(AE2:AE59)</f>
        <v>1</v>
      </c>
      <c r="AF63" s="39"/>
      <c r="AG63" s="39">
        <f>MIN(AG2:AG59)</f>
        <v>0</v>
      </c>
      <c r="AH63" s="39"/>
      <c r="AI63" s="39">
        <f>MIN(AI2:AI59)</f>
        <v>0</v>
      </c>
      <c r="AJ63" s="39"/>
      <c r="AK63" s="39"/>
      <c r="AL63" s="39"/>
      <c r="AM63" s="39"/>
    </row>
    <row r="64" spans="1:39" x14ac:dyDescent="0.25">
      <c r="A64" s="93"/>
      <c r="B64" s="39" t="s">
        <v>630</v>
      </c>
      <c r="C64" s="39"/>
      <c r="D64" s="39"/>
      <c r="E64" s="39"/>
      <c r="F64" s="39">
        <f>F60+4*F61</f>
        <v>391.64092496362213</v>
      </c>
      <c r="G64" s="39"/>
      <c r="H64" s="39"/>
      <c r="I64" s="39">
        <f>I60-3*I61</f>
        <v>27.778762001975259</v>
      </c>
      <c r="J64" s="39">
        <f>J60-3*J61</f>
        <v>36.558059505047126</v>
      </c>
      <c r="K64" s="39">
        <f>K60-3*K61</f>
        <v>55.110458888991644</v>
      </c>
      <c r="L64" s="39">
        <f>L60-4*L61</f>
        <v>67.923622890324552</v>
      </c>
      <c r="M64" s="39">
        <f>M60+3*M61</f>
        <v>201.34569231484372</v>
      </c>
      <c r="N64" s="39"/>
      <c r="O64" s="39">
        <f>O60-1.5*O61</f>
        <v>-2.6674064824762853</v>
      </c>
      <c r="P64" s="39"/>
      <c r="Q64" s="39">
        <f>Q60-1.5*Q61</f>
        <v>1.2368033936567677</v>
      </c>
      <c r="R64" s="39"/>
      <c r="S64" s="39">
        <f>S60+3*S61</f>
        <v>240.80629391792863</v>
      </c>
      <c r="T64" s="39"/>
      <c r="U64" s="39">
        <f>U60-1.5*U61</f>
        <v>-0.44061208018151587</v>
      </c>
      <c r="V64" s="39"/>
      <c r="W64" s="39">
        <f>W60-1.5*W61</f>
        <v>-1.0957719546288329</v>
      </c>
      <c r="X64" s="39"/>
      <c r="Y64" s="39">
        <f>Y60+4*Y61</f>
        <v>200.59836817762024</v>
      </c>
      <c r="Z64" s="39"/>
      <c r="AA64" s="39">
        <f>AA60-1.5*AA61</f>
        <v>-0.33676244684924717</v>
      </c>
      <c r="AB64" s="39"/>
      <c r="AC64" s="39">
        <f>AC60-1.5*AC61</f>
        <v>-3.5396415017472549</v>
      </c>
      <c r="AD64" s="39"/>
      <c r="AE64" s="39">
        <f>AE60+3*AE61</f>
        <v>161.88244983539573</v>
      </c>
      <c r="AF64" s="39"/>
      <c r="AG64" s="39">
        <f>AG60-1.5*AG61</f>
        <v>-2.4274099646319169</v>
      </c>
      <c r="AH64" s="39"/>
      <c r="AI64" s="39">
        <f>AI60-1.5*AI61</f>
        <v>-6.6302765751465227</v>
      </c>
      <c r="AJ64" s="39"/>
      <c r="AK64" s="39"/>
      <c r="AL64" s="39"/>
      <c r="AM64" s="39"/>
    </row>
  </sheetData>
  <autoFilter ref="A1:AM64" xr:uid="{6A2D394F-0F32-4E83-9EA9-6B44A40D5C96}">
    <sortState ref="A2:AM64">
      <sortCondition ref="C2:C64"/>
    </sortState>
  </autoFilter>
  <sortState ref="A2:AM59">
    <sortCondition ref="F2:F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78" t="s">
        <v>0</v>
      </c>
      <c r="B1" s="78" t="s">
        <v>1</v>
      </c>
      <c r="C1" s="79" t="s">
        <v>203</v>
      </c>
      <c r="D1" s="80"/>
      <c r="E1" s="80"/>
      <c r="F1" s="80"/>
      <c r="G1" s="80"/>
      <c r="H1" s="80"/>
      <c r="I1" s="80"/>
      <c r="J1" s="81"/>
      <c r="K1" s="78" t="s">
        <v>613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9" ht="60" x14ac:dyDescent="0.25">
      <c r="A2" s="78"/>
      <c r="B2" s="78"/>
      <c r="C2" s="1" t="s">
        <v>5</v>
      </c>
      <c r="D2" s="1" t="s">
        <v>31</v>
      </c>
      <c r="E2" s="1" t="s">
        <v>154</v>
      </c>
      <c r="F2" s="4" t="s">
        <v>210</v>
      </c>
      <c r="G2" s="4" t="s">
        <v>639</v>
      </c>
      <c r="H2" s="4" t="s">
        <v>640</v>
      </c>
      <c r="I2" s="4" t="s">
        <v>641</v>
      </c>
      <c r="J2" s="4" t="s">
        <v>642</v>
      </c>
      <c r="K2" s="1" t="s">
        <v>614</v>
      </c>
      <c r="L2" s="4" t="s">
        <v>615</v>
      </c>
      <c r="M2" s="4" t="s">
        <v>616</v>
      </c>
      <c r="N2" s="4" t="s">
        <v>617</v>
      </c>
      <c r="O2" s="4" t="s">
        <v>618</v>
      </c>
      <c r="P2" s="4" t="s">
        <v>619</v>
      </c>
      <c r="Q2" s="4" t="s">
        <v>620</v>
      </c>
      <c r="R2" s="4" t="s">
        <v>621</v>
      </c>
      <c r="S2" s="4" t="s">
        <v>622</v>
      </c>
      <c r="T2" s="4" t="s">
        <v>623</v>
      </c>
      <c r="U2" s="4" t="s">
        <v>624</v>
      </c>
      <c r="V2" s="4" t="s">
        <v>625</v>
      </c>
    </row>
    <row r="3" spans="1:29" x14ac:dyDescent="0.25">
      <c r="A3" s="13">
        <v>1</v>
      </c>
      <c r="B3" s="2" t="s">
        <v>242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41">
        <v>49.5</v>
      </c>
      <c r="H3" s="41">
        <v>65.599999999999994</v>
      </c>
      <c r="I3" s="41">
        <v>80</v>
      </c>
      <c r="J3" s="41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41">
        <v>100</v>
      </c>
      <c r="H4" s="41">
        <v>82.4</v>
      </c>
      <c r="I4" s="41">
        <v>94</v>
      </c>
      <c r="J4" s="41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626</v>
      </c>
    </row>
    <row r="5" spans="1:29" x14ac:dyDescent="0.25">
      <c r="A5" s="13">
        <v>3</v>
      </c>
      <c r="B5" s="2" t="s">
        <v>407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41">
        <v>75.599999999999994</v>
      </c>
      <c r="H5" s="41">
        <v>81</v>
      </c>
      <c r="I5" s="41">
        <v>83.1</v>
      </c>
      <c r="J5" s="41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410</v>
      </c>
      <c r="C6" s="2">
        <v>7</v>
      </c>
      <c r="D6" s="2">
        <v>9</v>
      </c>
      <c r="E6" s="2" t="s">
        <v>155</v>
      </c>
      <c r="F6" s="2">
        <f t="shared" si="3"/>
        <v>1</v>
      </c>
      <c r="G6" s="41">
        <v>81</v>
      </c>
      <c r="H6" s="41">
        <v>81.3</v>
      </c>
      <c r="I6" s="41">
        <v>92</v>
      </c>
      <c r="J6" s="41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208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41">
        <v>75.2</v>
      </c>
      <c r="H7" s="41">
        <v>79.3</v>
      </c>
      <c r="I7" s="41">
        <v>91.8</v>
      </c>
      <c r="J7" s="41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41">
        <v>80.400000000000006</v>
      </c>
      <c r="H8" s="41">
        <v>100</v>
      </c>
      <c r="I8" s="41">
        <v>80.599999999999994</v>
      </c>
      <c r="J8" s="41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41">
        <v>75</v>
      </c>
      <c r="H9" s="41">
        <v>76.099999999999994</v>
      </c>
      <c r="I9" s="41">
        <v>81.7</v>
      </c>
      <c r="J9" s="41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419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41">
        <v>50.7</v>
      </c>
      <c r="H10" s="41">
        <v>58.6</v>
      </c>
      <c r="I10" s="41">
        <v>81.400000000000006</v>
      </c>
      <c r="J10" s="41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41">
        <v>49.6</v>
      </c>
      <c r="H11" s="41">
        <v>76.599999999999994</v>
      </c>
      <c r="I11" s="41">
        <v>71.8</v>
      </c>
      <c r="J11" s="41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408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41">
        <v>49.8</v>
      </c>
      <c r="H12" s="41">
        <v>65.099999999999994</v>
      </c>
      <c r="I12" s="41">
        <v>79.7</v>
      </c>
      <c r="J12" s="41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438</v>
      </c>
      <c r="C13" s="2">
        <v>450</v>
      </c>
      <c r="D13" s="2"/>
      <c r="E13" s="2" t="s">
        <v>156</v>
      </c>
      <c r="F13" s="2">
        <f t="shared" si="3"/>
        <v>1</v>
      </c>
      <c r="G13" s="41"/>
      <c r="H13" s="41"/>
      <c r="I13" s="41"/>
      <c r="J13" s="41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402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41">
        <v>58.2</v>
      </c>
      <c r="H14" s="41">
        <v>69.2</v>
      </c>
      <c r="I14" s="41">
        <v>85.8</v>
      </c>
      <c r="J14" s="41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41">
        <v>63.3</v>
      </c>
      <c r="H15" s="41">
        <v>74.900000000000006</v>
      </c>
      <c r="I15" s="41">
        <v>82</v>
      </c>
      <c r="J15" s="41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41">
        <v>50.2</v>
      </c>
      <c r="H16" s="41">
        <v>65.5</v>
      </c>
      <c r="I16" s="41">
        <v>79.400000000000006</v>
      </c>
      <c r="J16" s="41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41">
        <v>61.6</v>
      </c>
      <c r="H17" s="41">
        <v>72.3</v>
      </c>
      <c r="I17" s="41">
        <v>82.5</v>
      </c>
      <c r="J17" s="41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437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41">
        <v>71.2</v>
      </c>
      <c r="H18" s="41">
        <v>79.3</v>
      </c>
      <c r="I18" s="41">
        <v>85.8</v>
      </c>
      <c r="J18" s="41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422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41">
        <v>65.400000000000006</v>
      </c>
      <c r="H19" s="41">
        <v>61.1</v>
      </c>
      <c r="I19" s="41">
        <v>78.5</v>
      </c>
      <c r="J19" s="41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406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41">
        <v>40.299999999999997</v>
      </c>
      <c r="H20" s="41">
        <v>53.9</v>
      </c>
      <c r="I20" s="41">
        <v>77.900000000000006</v>
      </c>
      <c r="J20" s="41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399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41">
        <v>71.099999999999994</v>
      </c>
      <c r="H21" s="40">
        <v>66.8</v>
      </c>
      <c r="I21" s="41">
        <v>87.4</v>
      </c>
      <c r="J21" s="41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420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41">
        <v>58.9</v>
      </c>
      <c r="H22" s="41">
        <v>49.5</v>
      </c>
      <c r="I22" s="41">
        <v>77.900000000000006</v>
      </c>
      <c r="J22" s="41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41">
        <v>67.7</v>
      </c>
      <c r="H23" s="41">
        <v>77.5</v>
      </c>
      <c r="I23" s="41">
        <v>67.599999999999994</v>
      </c>
      <c r="J23" s="41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41">
        <v>49.4</v>
      </c>
      <c r="H24" s="41">
        <v>60.8</v>
      </c>
      <c r="I24" s="41">
        <v>74.5</v>
      </c>
      <c r="J24" s="41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41">
        <v>90.5</v>
      </c>
      <c r="H25" s="41">
        <v>98.7</v>
      </c>
      <c r="I25" s="41">
        <v>95.4</v>
      </c>
      <c r="J25" s="41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41">
        <v>87.8</v>
      </c>
      <c r="H26" s="41">
        <v>96</v>
      </c>
      <c r="I26" s="41">
        <v>100</v>
      </c>
      <c r="J26" s="41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41">
        <v>78.900000000000006</v>
      </c>
      <c r="H27" s="41">
        <v>80.900000000000006</v>
      </c>
      <c r="I27" s="41">
        <v>78.8</v>
      </c>
      <c r="J27" s="41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41">
        <v>81</v>
      </c>
      <c r="H28" s="41">
        <v>97.3</v>
      </c>
      <c r="I28" s="41">
        <v>81.2</v>
      </c>
      <c r="J28" s="41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41">
        <v>78.2</v>
      </c>
      <c r="H29" s="41">
        <v>88.9</v>
      </c>
      <c r="I29" s="41">
        <v>81.7</v>
      </c>
      <c r="J29" s="41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41">
        <v>73.400000000000006</v>
      </c>
      <c r="H30" s="41">
        <v>85.1</v>
      </c>
      <c r="I30" s="40">
        <v>89.8</v>
      </c>
      <c r="J30" s="41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41">
        <v>77.400000000000006</v>
      </c>
      <c r="H31" s="41">
        <v>89.8</v>
      </c>
      <c r="I31" s="41">
        <v>85.1</v>
      </c>
      <c r="J31" s="41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424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41">
        <v>77.8</v>
      </c>
      <c r="H32" s="41">
        <v>89.2</v>
      </c>
      <c r="I32" s="41">
        <v>77.900000000000006</v>
      </c>
      <c r="J32" s="41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393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41">
        <v>85.7</v>
      </c>
      <c r="H33" s="41">
        <v>89</v>
      </c>
      <c r="I33" s="41">
        <v>93.3</v>
      </c>
      <c r="J33" s="41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41">
        <v>79.099999999999994</v>
      </c>
      <c r="H34" s="41">
        <v>78.400000000000006</v>
      </c>
      <c r="I34" s="41">
        <v>85.6</v>
      </c>
      <c r="J34" s="41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41">
        <v>63.3</v>
      </c>
      <c r="H35" s="41">
        <v>78.7</v>
      </c>
      <c r="I35" s="41">
        <v>64.099999999999994</v>
      </c>
      <c r="J35" s="41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41">
        <v>64</v>
      </c>
      <c r="H36" s="41">
        <v>80.7</v>
      </c>
      <c r="I36" s="41">
        <v>64.599999999999994</v>
      </c>
      <c r="J36" s="41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41">
        <v>73.8</v>
      </c>
      <c r="H37" s="41">
        <v>75.400000000000006</v>
      </c>
      <c r="I37" s="41">
        <v>80.599999999999994</v>
      </c>
      <c r="J37" s="41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41">
        <v>72.599999999999994</v>
      </c>
      <c r="H38" s="41">
        <v>79</v>
      </c>
      <c r="I38" s="41">
        <v>79.400000000000006</v>
      </c>
      <c r="J38" s="41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400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41">
        <v>74</v>
      </c>
      <c r="H39" s="41">
        <v>59.2</v>
      </c>
      <c r="I39" s="41">
        <v>85.6</v>
      </c>
      <c r="J39" s="41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395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41">
        <v>58.8</v>
      </c>
      <c r="H40" s="41">
        <v>69.099999999999994</v>
      </c>
      <c r="I40" s="41">
        <v>86.8</v>
      </c>
      <c r="J40" s="41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41">
        <v>58.3</v>
      </c>
      <c r="H41" s="41">
        <v>66.7</v>
      </c>
      <c r="I41" s="41">
        <v>71.8</v>
      </c>
      <c r="J41" s="41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427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41">
        <v>56.7</v>
      </c>
      <c r="H42" s="41">
        <v>61.7</v>
      </c>
      <c r="I42" s="41">
        <v>77.599999999999994</v>
      </c>
      <c r="J42" s="41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41">
        <v>63.5</v>
      </c>
      <c r="H43" s="40">
        <v>58</v>
      </c>
      <c r="I43" s="41">
        <v>77.900000000000006</v>
      </c>
      <c r="J43" s="41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417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41">
        <v>65</v>
      </c>
      <c r="H44" s="41">
        <v>61.3</v>
      </c>
      <c r="I44" s="41">
        <v>71.8</v>
      </c>
      <c r="J44" s="41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41">
        <v>53.3</v>
      </c>
      <c r="H45" s="41">
        <v>65.5</v>
      </c>
      <c r="I45" s="41">
        <v>73.400000000000006</v>
      </c>
      <c r="J45" s="41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41">
        <v>57.7</v>
      </c>
      <c r="H46" s="41">
        <v>58</v>
      </c>
      <c r="I46" s="41">
        <v>73</v>
      </c>
      <c r="J46" s="41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440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41">
        <v>55.5</v>
      </c>
      <c r="H47" s="41">
        <v>61.8</v>
      </c>
      <c r="I47" s="41">
        <v>71</v>
      </c>
      <c r="J47" s="41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41">
        <v>81.8</v>
      </c>
      <c r="H48" s="41">
        <v>83.5</v>
      </c>
      <c r="I48" s="41">
        <v>90.6</v>
      </c>
      <c r="J48" s="41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398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41">
        <v>77.3</v>
      </c>
      <c r="H49" s="41">
        <v>85.9</v>
      </c>
      <c r="I49" s="41">
        <v>84.6</v>
      </c>
      <c r="J49" s="41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41">
        <v>79.3</v>
      </c>
      <c r="H50" s="41">
        <v>71.7</v>
      </c>
      <c r="I50" s="41">
        <v>90.2</v>
      </c>
      <c r="J50" s="41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41">
        <v>76.5</v>
      </c>
      <c r="H51" s="41">
        <v>76.900000000000006</v>
      </c>
      <c r="I51" s="41">
        <v>85.3</v>
      </c>
      <c r="J51" s="41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41">
        <v>93</v>
      </c>
      <c r="H52" s="41">
        <v>74.7</v>
      </c>
      <c r="I52" s="41">
        <v>100</v>
      </c>
      <c r="J52" s="41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41">
        <v>75.3</v>
      </c>
      <c r="H53" s="41">
        <v>73.900000000000006</v>
      </c>
      <c r="I53" s="41">
        <v>90.6</v>
      </c>
      <c r="J53" s="41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41">
        <v>72.3</v>
      </c>
      <c r="H54" s="41">
        <v>86.8</v>
      </c>
      <c r="I54" s="41">
        <v>69.400000000000006</v>
      </c>
      <c r="J54" s="41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41">
        <v>63.4</v>
      </c>
      <c r="H55" s="41">
        <v>80</v>
      </c>
      <c r="I55" s="41">
        <v>86.8</v>
      </c>
      <c r="J55" s="41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41">
        <v>69.8</v>
      </c>
      <c r="H56" s="41">
        <v>69.7</v>
      </c>
      <c r="I56" s="41">
        <v>88.5</v>
      </c>
      <c r="J56" s="41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41">
        <v>60.5</v>
      </c>
      <c r="H57" s="41">
        <v>75.400000000000006</v>
      </c>
      <c r="I57" s="41">
        <v>69.8</v>
      </c>
      <c r="J57" s="41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41">
        <v>63</v>
      </c>
      <c r="H58" s="41">
        <v>70.5</v>
      </c>
      <c r="I58" s="41">
        <v>76.900000000000006</v>
      </c>
      <c r="J58" s="41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41">
        <v>65.3</v>
      </c>
      <c r="H59" s="41">
        <v>69.5</v>
      </c>
      <c r="I59" s="41">
        <v>73.400000000000006</v>
      </c>
      <c r="J59" s="41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397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41">
        <v>52.2</v>
      </c>
      <c r="H60" s="41">
        <v>58.1</v>
      </c>
      <c r="I60" s="41">
        <v>81.400000000000006</v>
      </c>
      <c r="J60" s="41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9"/>
      <c r="L61" s="19"/>
    </row>
    <row r="62" spans="1:22" x14ac:dyDescent="0.25">
      <c r="K62" s="19"/>
      <c r="L62" s="19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365</v>
      </c>
    </row>
    <row r="2" spans="1:2" x14ac:dyDescent="0.25">
      <c r="A2" s="2">
        <v>1</v>
      </c>
      <c r="B2" s="2" t="s">
        <v>366</v>
      </c>
    </row>
    <row r="3" spans="1:2" x14ac:dyDescent="0.25">
      <c r="A3" s="2">
        <v>2</v>
      </c>
      <c r="B3" s="2" t="s">
        <v>367</v>
      </c>
    </row>
    <row r="4" spans="1:2" x14ac:dyDescent="0.25">
      <c r="A4" s="2">
        <v>3</v>
      </c>
      <c r="B4" s="2" t="s">
        <v>368</v>
      </c>
    </row>
    <row r="5" spans="1:2" x14ac:dyDescent="0.25">
      <c r="A5" s="2">
        <v>4</v>
      </c>
      <c r="B5" s="2" t="s">
        <v>369</v>
      </c>
    </row>
    <row r="6" spans="1:2" x14ac:dyDescent="0.25">
      <c r="A6" s="2">
        <v>5</v>
      </c>
      <c r="B6" s="2" t="s">
        <v>370</v>
      </c>
    </row>
    <row r="7" spans="1:2" x14ac:dyDescent="0.25">
      <c r="A7" s="2">
        <v>6</v>
      </c>
      <c r="B7" s="2" t="s">
        <v>371</v>
      </c>
    </row>
    <row r="8" spans="1:2" x14ac:dyDescent="0.25">
      <c r="A8" s="2">
        <v>7</v>
      </c>
      <c r="B8" s="2" t="s">
        <v>372</v>
      </c>
    </row>
    <row r="9" spans="1:2" x14ac:dyDescent="0.25">
      <c r="A9" s="2">
        <v>8</v>
      </c>
      <c r="B9" s="2" t="s">
        <v>373</v>
      </c>
    </row>
    <row r="10" spans="1:2" x14ac:dyDescent="0.25">
      <c r="A10" s="2">
        <v>9</v>
      </c>
      <c r="B10" s="2" t="s">
        <v>374</v>
      </c>
    </row>
    <row r="11" spans="1:2" x14ac:dyDescent="0.25">
      <c r="A11" s="2">
        <v>10</v>
      </c>
      <c r="B11" s="2" t="s">
        <v>375</v>
      </c>
    </row>
    <row r="12" spans="1:2" x14ac:dyDescent="0.25">
      <c r="A12" s="2">
        <v>11</v>
      </c>
      <c r="B12" s="2" t="s">
        <v>376</v>
      </c>
    </row>
    <row r="13" spans="1:2" x14ac:dyDescent="0.25">
      <c r="A13" s="2">
        <v>12</v>
      </c>
      <c r="B13" s="2" t="s">
        <v>377</v>
      </c>
    </row>
    <row r="14" spans="1:2" x14ac:dyDescent="0.25">
      <c r="A14" s="2">
        <v>13</v>
      </c>
      <c r="B14" s="2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78" t="s">
        <v>379</v>
      </c>
      <c r="B1" s="78"/>
      <c r="C1" s="78"/>
      <c r="D1" s="78"/>
      <c r="E1" s="78"/>
      <c r="F1" s="78"/>
      <c r="H1" s="82" t="s">
        <v>380</v>
      </c>
      <c r="I1" s="82"/>
      <c r="J1" s="82"/>
      <c r="K1" s="82"/>
      <c r="L1" s="82"/>
      <c r="M1" s="82"/>
      <c r="O1" s="83" t="s">
        <v>381</v>
      </c>
      <c r="P1" s="83"/>
      <c r="Q1" s="83"/>
      <c r="R1" s="83"/>
      <c r="S1" s="83"/>
      <c r="T1" s="83"/>
      <c r="V1" s="84" t="s">
        <v>382</v>
      </c>
      <c r="W1" s="84"/>
      <c r="X1" s="84"/>
      <c r="Y1" s="84"/>
      <c r="Z1" s="84"/>
      <c r="AA1" s="84"/>
    </row>
    <row r="2" spans="1:27" x14ac:dyDescent="0.25">
      <c r="A2" s="1" t="s">
        <v>0</v>
      </c>
      <c r="B2" s="1" t="s">
        <v>383</v>
      </c>
      <c r="C2" s="1" t="s">
        <v>384</v>
      </c>
      <c r="D2" s="1" t="s">
        <v>385</v>
      </c>
      <c r="E2" s="1" t="s">
        <v>386</v>
      </c>
      <c r="F2" s="1" t="s">
        <v>387</v>
      </c>
      <c r="H2" s="36" t="s">
        <v>0</v>
      </c>
      <c r="I2" s="36" t="s">
        <v>388</v>
      </c>
      <c r="J2" s="36" t="s">
        <v>384</v>
      </c>
      <c r="K2" s="36" t="s">
        <v>385</v>
      </c>
      <c r="L2" s="36" t="s">
        <v>386</v>
      </c>
      <c r="M2" s="36" t="s">
        <v>387</v>
      </c>
      <c r="O2" s="37" t="s">
        <v>0</v>
      </c>
      <c r="P2" s="37" t="s">
        <v>388</v>
      </c>
      <c r="Q2" s="37" t="s">
        <v>384</v>
      </c>
      <c r="R2" s="37" t="s">
        <v>385</v>
      </c>
      <c r="S2" s="37" t="s">
        <v>386</v>
      </c>
      <c r="T2" s="37" t="s">
        <v>387</v>
      </c>
      <c r="V2" s="34" t="s">
        <v>0</v>
      </c>
      <c r="W2" s="34" t="s">
        <v>388</v>
      </c>
      <c r="X2" s="34" t="s">
        <v>384</v>
      </c>
      <c r="Y2" s="34" t="s">
        <v>385</v>
      </c>
      <c r="Z2" s="34" t="s">
        <v>386</v>
      </c>
      <c r="AA2" s="34" t="s">
        <v>387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389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390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391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208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392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393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393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394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395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208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393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396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396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397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398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399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400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393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401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402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403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399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400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366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404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405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406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371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395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407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407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408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409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410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411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398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412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208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242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371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367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413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398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414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415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416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395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371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417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407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418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419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409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420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421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367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422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368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400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369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407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370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369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423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371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424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366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399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425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409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426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372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400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404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422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373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411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427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410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428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397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420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429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430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418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431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431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432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433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434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435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208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436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437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438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429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374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389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439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440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441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403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438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442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443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444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370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445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446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447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448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449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450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451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399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421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450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375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452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427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408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453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454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377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438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376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455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440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377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456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457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422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458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445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378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440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459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242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460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417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461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443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438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462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463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242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464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465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466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467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468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395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409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398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428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427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461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469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462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470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471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472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473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474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372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475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420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411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476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419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477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478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479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480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481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421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482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439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483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411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473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484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427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440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415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485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486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448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487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488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391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489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490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491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492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493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461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491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451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402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494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495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402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496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436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491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415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475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423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497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417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498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499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500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404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439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493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501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502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503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504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505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420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374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485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482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403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422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506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507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445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508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408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509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495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434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469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463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426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504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494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510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511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512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513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503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403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490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514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515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500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512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516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404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517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518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519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459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520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480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521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507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522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510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443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501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466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523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505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377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445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524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435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525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451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526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527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455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528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446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529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530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397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437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531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532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431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533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457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508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487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484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534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429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535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530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406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447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423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467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536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416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537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517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538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539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540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442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541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542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443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543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544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489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545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546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532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537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547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499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412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548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549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468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550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484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480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542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551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419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510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479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538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408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534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506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526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406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497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552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401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490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553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494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425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554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514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555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556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518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488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557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461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520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492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472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431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430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558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470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559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560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561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444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562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368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525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5" t="s">
        <v>563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376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552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564</v>
      </c>
    </row>
    <row r="125" spans="1:27" x14ac:dyDescent="0.25">
      <c r="A125" s="2">
        <v>123</v>
      </c>
      <c r="B125" s="2" t="s">
        <v>565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566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567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568</v>
      </c>
    </row>
    <row r="126" spans="1:27" x14ac:dyDescent="0.25">
      <c r="A126" s="2">
        <v>124</v>
      </c>
      <c r="B126" s="2" t="s">
        <v>541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424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536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569</v>
      </c>
    </row>
    <row r="127" spans="1:27" x14ac:dyDescent="0.25">
      <c r="A127" s="2">
        <v>125</v>
      </c>
      <c r="B127" s="2" t="s">
        <v>548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429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555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466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373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570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571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545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572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432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573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574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449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575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576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471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539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577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578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579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580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453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406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532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533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581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490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495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500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580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524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582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457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553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421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536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497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518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439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583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459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584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377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521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525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455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585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456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551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567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434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556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450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518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560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467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586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484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587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479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588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402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495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589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482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577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590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423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591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499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378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493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562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579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592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593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451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594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571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475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595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596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499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514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539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559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588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488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597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492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485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598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528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450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599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600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480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419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481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482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464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522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507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426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489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558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435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573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535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483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601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473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602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603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426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415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592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584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473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500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604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605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530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397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606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507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485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604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532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444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607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594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608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375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534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512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517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609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523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392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465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610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611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597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504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547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476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583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555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612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231</v>
      </c>
      <c r="F1" s="4" t="s">
        <v>232</v>
      </c>
      <c r="G1" s="1" t="s">
        <v>278</v>
      </c>
      <c r="H1" s="1" t="s">
        <v>286</v>
      </c>
      <c r="I1" s="1" t="s">
        <v>284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2">
        <v>1315</v>
      </c>
      <c r="F2" s="12">
        <v>184</v>
      </c>
      <c r="G2" s="2">
        <f t="shared" ref="G2:G30" si="0">(E2+F2)/2</f>
        <v>749.5</v>
      </c>
      <c r="H2" s="2">
        <v>0.13041586914912129</v>
      </c>
      <c r="I2" s="16" t="s">
        <v>285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2">
        <v>1088</v>
      </c>
      <c r="F3" s="12">
        <v>169</v>
      </c>
      <c r="G3" s="2">
        <f t="shared" si="0"/>
        <v>628.5</v>
      </c>
      <c r="H3" s="2">
        <v>0.10936140595093093</v>
      </c>
      <c r="I3" s="16" t="s">
        <v>285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2">
        <v>4391</v>
      </c>
      <c r="F4" s="12">
        <v>2312</v>
      </c>
      <c r="G4" s="2">
        <f t="shared" si="0"/>
        <v>3351.5</v>
      </c>
      <c r="H4" s="2">
        <v>0.58317382982425614</v>
      </c>
      <c r="I4" s="16" t="s">
        <v>285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7">
        <v>118</v>
      </c>
      <c r="G5" s="2">
        <f t="shared" si="0"/>
        <v>310.5</v>
      </c>
      <c r="H5" s="2">
        <v>5.4028188620149645E-2</v>
      </c>
      <c r="I5" s="16" t="s">
        <v>280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2">
        <v>2671</v>
      </c>
      <c r="F6" s="2">
        <v>439</v>
      </c>
      <c r="G6" s="2">
        <f t="shared" si="0"/>
        <v>1555</v>
      </c>
      <c r="H6" s="2">
        <v>0.27057595267095874</v>
      </c>
      <c r="I6" s="16" t="s">
        <v>285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2">
        <v>4391</v>
      </c>
      <c r="F7" s="12">
        <v>2312</v>
      </c>
      <c r="G7" s="2">
        <f t="shared" si="0"/>
        <v>3351.5</v>
      </c>
      <c r="H7" s="2">
        <v>0.58317382982425614</v>
      </c>
      <c r="I7" s="16" t="s">
        <v>285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2">
        <v>6805</v>
      </c>
      <c r="F8" s="12">
        <v>2531</v>
      </c>
      <c r="G8" s="2">
        <f t="shared" si="0"/>
        <v>4668</v>
      </c>
      <c r="H8" s="2">
        <v>0.81224986949712896</v>
      </c>
      <c r="I8" s="16" t="s">
        <v>285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2">
        <v>1269</v>
      </c>
      <c r="F9" s="2">
        <v>390</v>
      </c>
      <c r="G9" s="2">
        <f t="shared" si="0"/>
        <v>829.5</v>
      </c>
      <c r="H9" s="2">
        <v>0.14433617539585872</v>
      </c>
      <c r="I9" s="16" t="s">
        <v>285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2">
        <v>3098</v>
      </c>
      <c r="F10" s="2">
        <v>758</v>
      </c>
      <c r="G10" s="2">
        <f t="shared" si="0"/>
        <v>1928</v>
      </c>
      <c r="H10" s="2">
        <v>0.335479380546372</v>
      </c>
      <c r="I10" s="16" t="s">
        <v>285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6" t="s">
        <v>285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6" t="s">
        <v>285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2">
        <v>3737</v>
      </c>
      <c r="F13" s="2">
        <v>847</v>
      </c>
      <c r="G13" s="2">
        <f t="shared" si="0"/>
        <v>2292</v>
      </c>
      <c r="H13" s="2">
        <v>0.39881677396902732</v>
      </c>
      <c r="I13" s="16" t="s">
        <v>285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6" t="s">
        <v>285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6" t="s">
        <v>285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2">
        <v>1273</v>
      </c>
      <c r="F16" s="2">
        <v>249</v>
      </c>
      <c r="G16" s="2">
        <f t="shared" si="0"/>
        <v>761</v>
      </c>
      <c r="H16" s="2">
        <v>0.13241691317208978</v>
      </c>
      <c r="I16" s="16" t="s">
        <v>281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2">
        <v>1332</v>
      </c>
      <c r="F17" s="2">
        <v>198</v>
      </c>
      <c r="G17" s="2">
        <f t="shared" si="0"/>
        <v>765</v>
      </c>
      <c r="H17" s="2">
        <v>0.13311292848442666</v>
      </c>
      <c r="I17" s="16" t="s">
        <v>279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2">
        <v>1279</v>
      </c>
      <c r="F18" s="2">
        <v>297</v>
      </c>
      <c r="G18" s="2">
        <f t="shared" si="0"/>
        <v>788</v>
      </c>
      <c r="H18" s="2">
        <v>0.13711501653036368</v>
      </c>
      <c r="I18" s="16" t="s">
        <v>285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6" t="s">
        <v>285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2">
        <v>1201</v>
      </c>
      <c r="F20" s="2">
        <v>528</v>
      </c>
      <c r="G20" s="2">
        <f t="shared" si="0"/>
        <v>864.5</v>
      </c>
      <c r="H20" s="2">
        <v>0.15042630937880633</v>
      </c>
      <c r="I20" s="16" t="s">
        <v>285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6" t="s">
        <v>285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2">
        <v>2909</v>
      </c>
      <c r="F22" s="2">
        <v>703</v>
      </c>
      <c r="G22" s="2">
        <f t="shared" si="0"/>
        <v>1806</v>
      </c>
      <c r="H22" s="2">
        <v>0.31425091352009743</v>
      </c>
      <c r="I22" s="16" t="s">
        <v>285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6" t="s">
        <v>285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2">
        <v>4398</v>
      </c>
      <c r="F24" s="12">
        <v>2312</v>
      </c>
      <c r="G24" s="2">
        <f t="shared" si="0"/>
        <v>3355</v>
      </c>
      <c r="H24" s="2">
        <v>0.58378284322255092</v>
      </c>
      <c r="I24" s="16" t="s">
        <v>285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2">
        <v>8745</v>
      </c>
      <c r="F25" s="12">
        <v>2749</v>
      </c>
      <c r="G25" s="2">
        <f t="shared" si="0"/>
        <v>5747</v>
      </c>
      <c r="H25" s="2">
        <v>1</v>
      </c>
      <c r="I25" s="16" t="s">
        <v>285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2">
        <v>2515</v>
      </c>
      <c r="F26" s="2">
        <v>806</v>
      </c>
      <c r="G26" s="2">
        <f t="shared" si="0"/>
        <v>1660.5</v>
      </c>
      <c r="H26" s="2">
        <v>0.28893335653384372</v>
      </c>
      <c r="I26" s="16" t="s">
        <v>285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6" t="s">
        <v>283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2">
        <v>6814</v>
      </c>
      <c r="F28" s="12">
        <v>1847</v>
      </c>
      <c r="G28" s="2">
        <f t="shared" si="0"/>
        <v>4330.5</v>
      </c>
      <c r="H28" s="2">
        <v>0.75352357751870536</v>
      </c>
      <c r="I28" s="16" t="s">
        <v>283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2">
        <v>2040</v>
      </c>
      <c r="F29" s="2">
        <v>643</v>
      </c>
      <c r="G29" s="2">
        <f t="shared" si="0"/>
        <v>1341.5</v>
      </c>
      <c r="H29" s="2">
        <v>0.23342613537497825</v>
      </c>
      <c r="I29" s="16" t="s">
        <v>282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2">
        <v>2040</v>
      </c>
      <c r="F30" s="2">
        <v>643</v>
      </c>
      <c r="G30" s="2">
        <f t="shared" si="0"/>
        <v>1341.5</v>
      </c>
      <c r="H30" s="2">
        <v>0.23342613537497825</v>
      </c>
      <c r="I30" s="16" t="s">
        <v>282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6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2">
        <v>5256</v>
      </c>
      <c r="F32" s="12">
        <v>2410</v>
      </c>
      <c r="G32" s="2">
        <f>(E32+F32)/2</f>
        <v>3833</v>
      </c>
      <c r="H32" s="2">
        <v>0.66695667304680706</v>
      </c>
      <c r="I32" s="16" t="s">
        <v>285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6" t="s">
        <v>280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6" t="s">
        <v>285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2">
        <v>2255</v>
      </c>
      <c r="F37" s="2">
        <v>617</v>
      </c>
      <c r="G37" s="2">
        <f t="shared" si="1"/>
        <v>1436</v>
      </c>
      <c r="H37" s="2">
        <v>0.24986949712893683</v>
      </c>
      <c r="I37" s="16" t="s">
        <v>285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2">
        <v>9413</v>
      </c>
      <c r="F38" s="12">
        <v>2027</v>
      </c>
      <c r="G38" s="2">
        <f t="shared" si="1"/>
        <v>5720</v>
      </c>
      <c r="H38" s="2">
        <v>0.99530189664172608</v>
      </c>
      <c r="I38" s="16" t="s">
        <v>285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6" t="s">
        <v>285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6" t="s">
        <v>285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6" t="s">
        <v>285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6" t="s">
        <v>285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6" t="s">
        <v>285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6" t="s">
        <v>285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2">
        <v>1112</v>
      </c>
      <c r="F45" s="2">
        <v>299</v>
      </c>
      <c r="G45" s="2">
        <f t="shared" si="1"/>
        <v>705.5</v>
      </c>
      <c r="H45" s="2">
        <v>0.1227597007134157</v>
      </c>
      <c r="I45" s="16" t="s">
        <v>285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2">
        <v>2903</v>
      </c>
      <c r="F46" s="2">
        <v>703</v>
      </c>
      <c r="G46" s="2">
        <f t="shared" si="1"/>
        <v>1803</v>
      </c>
      <c r="H46" s="2">
        <v>0.3137289020358448</v>
      </c>
      <c r="I46" s="16" t="s">
        <v>285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6" t="s">
        <v>285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2">
        <v>2746</v>
      </c>
      <c r="F48" s="2">
        <v>857</v>
      </c>
      <c r="G48" s="2">
        <f t="shared" si="1"/>
        <v>1801.5</v>
      </c>
      <c r="H48" s="2">
        <v>0.31346789629371846</v>
      </c>
      <c r="I48" s="16" t="s">
        <v>285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2">
        <v>9046</v>
      </c>
      <c r="F49" s="12">
        <v>2035</v>
      </c>
      <c r="G49" s="2">
        <f t="shared" si="1"/>
        <v>5540.5</v>
      </c>
      <c r="H49" s="2">
        <v>0.96406820950060901</v>
      </c>
      <c r="I49" s="16" t="s">
        <v>285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6" t="s">
        <v>285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2">
        <v>2451</v>
      </c>
      <c r="F51" s="12">
        <v>1030</v>
      </c>
      <c r="G51" s="2">
        <f t="shared" si="1"/>
        <v>1740.5</v>
      </c>
      <c r="H51" s="2">
        <v>0.30285366278058118</v>
      </c>
      <c r="I51" s="16" t="s">
        <v>285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6" t="s">
        <v>285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6" t="s">
        <v>285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6" t="s">
        <v>285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2">
        <v>2746</v>
      </c>
      <c r="F55" s="2">
        <v>857</v>
      </c>
      <c r="G55" s="2">
        <f t="shared" si="1"/>
        <v>1801.5</v>
      </c>
      <c r="H55" s="2">
        <v>0.31346789629371846</v>
      </c>
      <c r="I55" s="16" t="s">
        <v>285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2">
        <v>4317</v>
      </c>
      <c r="F56" s="12">
        <v>2292</v>
      </c>
      <c r="G56" s="2">
        <f t="shared" si="1"/>
        <v>3304.5</v>
      </c>
      <c r="H56" s="2">
        <v>0.57499564990429786</v>
      </c>
      <c r="I56" s="16" t="s">
        <v>285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2">
        <v>1292</v>
      </c>
      <c r="F57" s="2">
        <v>389</v>
      </c>
      <c r="G57" s="2">
        <f t="shared" si="1"/>
        <v>840.5</v>
      </c>
      <c r="H57" s="2">
        <v>0.14625021750478512</v>
      </c>
      <c r="I57" s="16" t="s">
        <v>285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2">
        <v>3412</v>
      </c>
      <c r="F58" s="2">
        <v>406</v>
      </c>
      <c r="G58" s="2">
        <f t="shared" si="1"/>
        <v>1909</v>
      </c>
      <c r="H58" s="2">
        <v>0.33217330781277188</v>
      </c>
      <c r="I58" s="16" t="s">
        <v>285</v>
      </c>
    </row>
    <row r="59" spans="1:9" x14ac:dyDescent="0.25">
      <c r="A59" s="2">
        <v>58</v>
      </c>
      <c r="B59" s="2" t="s">
        <v>213</v>
      </c>
      <c r="C59" s="2" t="s">
        <v>212</v>
      </c>
      <c r="D59" s="2" t="s">
        <v>56</v>
      </c>
      <c r="E59" s="12">
        <v>1421</v>
      </c>
      <c r="F59" s="2">
        <v>243</v>
      </c>
      <c r="G59" s="2">
        <f t="shared" si="1"/>
        <v>832</v>
      </c>
      <c r="H59" s="2">
        <v>0.14477118496606925</v>
      </c>
      <c r="I59" s="16" t="s">
        <v>285</v>
      </c>
    </row>
    <row r="60" spans="1:9" x14ac:dyDescent="0.25">
      <c r="G60" s="18">
        <f>MAX(G2:G59)</f>
        <v>5747</v>
      </c>
      <c r="H60" s="19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16"/>
  <sheetViews>
    <sheetView topLeftCell="Y1" workbookViewId="0">
      <selection activeCell="AF17" sqref="AF17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314</v>
      </c>
      <c r="L1" s="1" t="s">
        <v>200</v>
      </c>
      <c r="M1" s="1" t="s">
        <v>201</v>
      </c>
      <c r="N1" s="32" t="s">
        <v>342</v>
      </c>
      <c r="O1" s="28" t="s">
        <v>341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277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668</v>
      </c>
      <c r="AC1" s="1" t="s">
        <v>659</v>
      </c>
      <c r="AD1" s="4" t="s">
        <v>656</v>
      </c>
      <c r="AE1" s="4" t="s">
        <v>657</v>
      </c>
      <c r="AF1" s="4" t="s">
        <v>658</v>
      </c>
      <c r="AG1" s="1" t="s">
        <v>107</v>
      </c>
      <c r="AH1" s="8" t="s">
        <v>34</v>
      </c>
      <c r="AI1" s="1" t="s">
        <v>230</v>
      </c>
      <c r="AJ1" s="49" t="s">
        <v>33</v>
      </c>
    </row>
    <row r="2" spans="1:36" s="6" customFormat="1" x14ac:dyDescent="0.25">
      <c r="A2" s="13">
        <f>'Universities Selection'!A24+1</f>
        <v>44</v>
      </c>
      <c r="B2" s="42" t="s">
        <v>51</v>
      </c>
      <c r="C2" s="2" t="s">
        <v>100</v>
      </c>
      <c r="D2" s="2" t="s">
        <v>66</v>
      </c>
      <c r="E2" s="2" t="s">
        <v>63</v>
      </c>
      <c r="F2" s="2"/>
      <c r="G2" s="2"/>
      <c r="H2" s="20"/>
      <c r="I2" s="2">
        <v>0</v>
      </c>
      <c r="J2" s="2">
        <v>0</v>
      </c>
      <c r="K2" s="2"/>
      <c r="L2" s="2"/>
      <c r="M2" s="2"/>
      <c r="N2" s="29"/>
      <c r="O2" s="2" t="s">
        <v>39</v>
      </c>
      <c r="P2" s="2" t="s">
        <v>164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54</v>
      </c>
      <c r="W2" s="2"/>
      <c r="X2" s="2"/>
      <c r="Y2" s="2"/>
      <c r="Z2" s="2"/>
      <c r="AA2" s="2"/>
      <c r="AB2" s="2"/>
      <c r="AC2" s="47">
        <v>9962</v>
      </c>
      <c r="AD2" s="47">
        <v>1214</v>
      </c>
      <c r="AE2" s="46">
        <v>80</v>
      </c>
      <c r="AF2" s="47">
        <v>1538</v>
      </c>
      <c r="AG2" s="2"/>
      <c r="AH2" s="9" t="s">
        <v>215</v>
      </c>
      <c r="AI2" s="2"/>
      <c r="AJ2" s="2"/>
    </row>
    <row r="3" spans="1:36" s="6" customFormat="1" x14ac:dyDescent="0.25">
      <c r="A3" s="13">
        <f>A2+1</f>
        <v>45</v>
      </c>
      <c r="B3" s="42" t="s">
        <v>52</v>
      </c>
      <c r="C3" s="2" t="s">
        <v>62</v>
      </c>
      <c r="D3" s="2" t="s">
        <v>66</v>
      </c>
      <c r="E3" s="2" t="s">
        <v>63</v>
      </c>
      <c r="F3" s="2"/>
      <c r="G3" s="2"/>
      <c r="H3" s="20"/>
      <c r="I3" s="2">
        <v>0</v>
      </c>
      <c r="J3" s="2">
        <v>0</v>
      </c>
      <c r="K3" s="2"/>
      <c r="L3" s="2"/>
      <c r="M3" s="2"/>
      <c r="N3" s="29"/>
      <c r="O3" s="2" t="s">
        <v>39</v>
      </c>
      <c r="P3" s="2" t="s">
        <v>164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53</v>
      </c>
      <c r="W3" s="2"/>
      <c r="X3" s="2"/>
      <c r="Y3" s="2"/>
      <c r="Z3" s="2"/>
      <c r="AA3" s="2"/>
      <c r="AB3" s="2"/>
      <c r="AC3" s="47">
        <v>23081</v>
      </c>
      <c r="AD3" s="47">
        <v>2206</v>
      </c>
      <c r="AE3" s="46">
        <v>89</v>
      </c>
      <c r="AF3" s="47">
        <v>3947</v>
      </c>
      <c r="AG3" s="2"/>
      <c r="AH3" s="9" t="s">
        <v>207</v>
      </c>
      <c r="AI3" s="2"/>
      <c r="AJ3" s="2"/>
    </row>
    <row r="4" spans="1:36" s="6" customFormat="1" x14ac:dyDescent="0.25">
      <c r="A4" s="13">
        <f>A3+1</f>
        <v>46</v>
      </c>
      <c r="B4" s="42" t="s">
        <v>53</v>
      </c>
      <c r="C4" s="2" t="s">
        <v>103</v>
      </c>
      <c r="D4" s="2" t="s">
        <v>66</v>
      </c>
      <c r="E4" s="2" t="s">
        <v>104</v>
      </c>
      <c r="F4" s="2"/>
      <c r="G4" s="2"/>
      <c r="H4" s="20"/>
      <c r="I4" s="2"/>
      <c r="J4" s="2">
        <v>0</v>
      </c>
      <c r="K4" s="2">
        <v>1</v>
      </c>
      <c r="L4" s="15">
        <v>43555</v>
      </c>
      <c r="M4" s="15">
        <v>43616</v>
      </c>
      <c r="N4" s="29" t="s">
        <v>292</v>
      </c>
      <c r="O4" s="2" t="s">
        <v>39</v>
      </c>
      <c r="P4" s="2" t="s">
        <v>169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42</v>
      </c>
      <c r="W4" s="2">
        <v>7.85E-2</v>
      </c>
      <c r="X4" s="2"/>
      <c r="Y4" s="2"/>
      <c r="Z4" s="2"/>
      <c r="AA4" s="2"/>
      <c r="AB4" s="2"/>
      <c r="AC4" s="47">
        <v>39323</v>
      </c>
      <c r="AD4" s="47">
        <v>9894</v>
      </c>
      <c r="AE4" s="46">
        <v>63</v>
      </c>
      <c r="AF4" s="47">
        <v>5925</v>
      </c>
      <c r="AG4" s="2"/>
      <c r="AH4" s="9" t="s">
        <v>215</v>
      </c>
      <c r="AI4" s="2"/>
      <c r="AJ4" s="2"/>
    </row>
    <row r="5" spans="1:36" s="6" customFormat="1" x14ac:dyDescent="0.25">
      <c r="A5" s="13">
        <f>'Universities Selection'!A22+1</f>
        <v>40</v>
      </c>
      <c r="B5" s="42" t="s">
        <v>424</v>
      </c>
      <c r="C5" s="2" t="s">
        <v>100</v>
      </c>
      <c r="D5" s="2" t="s">
        <v>66</v>
      </c>
      <c r="E5" s="2" t="s">
        <v>63</v>
      </c>
      <c r="F5" s="2"/>
      <c r="G5" s="2"/>
      <c r="H5" s="20"/>
      <c r="I5" s="2">
        <v>0</v>
      </c>
      <c r="J5" s="2">
        <v>0</v>
      </c>
      <c r="K5" s="2"/>
      <c r="L5" s="2"/>
      <c r="M5" s="2"/>
      <c r="N5" s="29"/>
      <c r="O5" s="2" t="s">
        <v>39</v>
      </c>
      <c r="P5" s="2" t="s">
        <v>164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27</v>
      </c>
      <c r="W5" s="2"/>
      <c r="X5" s="2">
        <v>34.200000000000003</v>
      </c>
      <c r="Y5" s="2"/>
      <c r="Z5" s="2"/>
      <c r="AA5" s="2"/>
      <c r="AB5" s="2"/>
      <c r="AC5" s="47">
        <v>27407</v>
      </c>
      <c r="AD5" s="47">
        <v>3217</v>
      </c>
      <c r="AE5" s="46">
        <v>86</v>
      </c>
      <c r="AF5" s="47">
        <v>4522</v>
      </c>
      <c r="AG5" s="2"/>
      <c r="AH5" s="9" t="s">
        <v>215</v>
      </c>
      <c r="AI5" s="2"/>
      <c r="AJ5" s="2"/>
    </row>
    <row r="6" spans="1:36" s="6" customFormat="1" x14ac:dyDescent="0.25">
      <c r="A6" s="13">
        <f>'Universities Selection'!A21+1</f>
        <v>12</v>
      </c>
      <c r="B6" s="42" t="s">
        <v>47</v>
      </c>
      <c r="C6" s="2" t="s">
        <v>66</v>
      </c>
      <c r="D6" s="2" t="s">
        <v>66</v>
      </c>
      <c r="E6" s="2" t="s">
        <v>75</v>
      </c>
      <c r="F6" s="2"/>
      <c r="G6" s="2"/>
      <c r="H6" s="20" t="s">
        <v>275</v>
      </c>
      <c r="I6" s="2">
        <v>0</v>
      </c>
      <c r="J6" s="2">
        <v>0</v>
      </c>
      <c r="K6" s="2"/>
      <c r="L6" s="2"/>
      <c r="M6" s="2"/>
      <c r="N6" s="29">
        <v>100</v>
      </c>
      <c r="O6" s="2" t="s">
        <v>39</v>
      </c>
      <c r="P6" s="2" t="s">
        <v>162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25</v>
      </c>
      <c r="W6" s="2">
        <v>0.2334</v>
      </c>
      <c r="X6" s="2"/>
      <c r="Y6" s="2"/>
      <c r="Z6" s="2"/>
      <c r="AA6" s="2"/>
      <c r="AB6" s="2"/>
      <c r="AC6" s="47">
        <v>25088</v>
      </c>
      <c r="AD6" s="47">
        <v>6719</v>
      </c>
      <c r="AE6" s="46">
        <v>50</v>
      </c>
      <c r="AF6" s="47">
        <v>4216</v>
      </c>
      <c r="AG6" s="2"/>
      <c r="AH6" s="9" t="s">
        <v>207</v>
      </c>
      <c r="AI6" s="2"/>
      <c r="AJ6" s="2" t="s">
        <v>310</v>
      </c>
    </row>
    <row r="7" spans="1:36" s="6" customFormat="1" x14ac:dyDescent="0.25">
      <c r="A7" s="13">
        <f>'Deprecated Universities'!A15+1</f>
        <v>23</v>
      </c>
      <c r="B7" s="42" t="s">
        <v>43</v>
      </c>
      <c r="C7" s="2" t="s">
        <v>94</v>
      </c>
      <c r="D7" s="2" t="s">
        <v>66</v>
      </c>
      <c r="E7" s="2" t="s">
        <v>99</v>
      </c>
      <c r="F7" s="2"/>
      <c r="G7" s="2"/>
      <c r="H7" s="20" t="s">
        <v>273</v>
      </c>
      <c r="I7" s="2"/>
      <c r="J7" s="2">
        <v>0</v>
      </c>
      <c r="K7" s="2"/>
      <c r="L7" s="23" t="s">
        <v>300</v>
      </c>
      <c r="M7" s="23" t="s">
        <v>301</v>
      </c>
      <c r="N7" s="31" t="s">
        <v>343</v>
      </c>
      <c r="O7" s="2" t="s">
        <v>39</v>
      </c>
      <c r="P7" s="2" t="s">
        <v>165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19</v>
      </c>
      <c r="W7" s="2">
        <v>8.4099999999999994E-2</v>
      </c>
      <c r="X7" s="2">
        <v>17.5</v>
      </c>
      <c r="Y7" s="2"/>
      <c r="Z7" s="2"/>
      <c r="AA7" s="2"/>
      <c r="AB7" s="2"/>
      <c r="AC7" s="47">
        <v>20631</v>
      </c>
      <c r="AD7" s="47">
        <v>8005</v>
      </c>
      <c r="AE7" s="46">
        <v>72</v>
      </c>
      <c r="AF7" s="47">
        <v>6564</v>
      </c>
      <c r="AG7" s="2"/>
      <c r="AH7" s="9" t="s">
        <v>226</v>
      </c>
      <c r="AI7" s="2"/>
      <c r="AJ7" s="2"/>
    </row>
    <row r="8" spans="1:36" s="6" customFormat="1" x14ac:dyDescent="0.25">
      <c r="A8" s="13">
        <f>A7+1</f>
        <v>24</v>
      </c>
      <c r="B8" s="42" t="s">
        <v>35</v>
      </c>
      <c r="C8" s="2" t="s">
        <v>60</v>
      </c>
      <c r="D8" s="2" t="s">
        <v>61</v>
      </c>
      <c r="E8" s="2" t="s">
        <v>56</v>
      </c>
      <c r="F8" s="2"/>
      <c r="G8" s="2"/>
      <c r="H8" s="20"/>
      <c r="I8" s="2"/>
      <c r="J8" s="2">
        <v>0</v>
      </c>
      <c r="K8" s="2"/>
      <c r="L8" s="2"/>
      <c r="M8" s="2"/>
      <c r="N8" s="29">
        <v>90</v>
      </c>
      <c r="O8" s="2" t="s">
        <v>39</v>
      </c>
      <c r="P8" s="2" t="s">
        <v>160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1</v>
      </c>
      <c r="W8" s="2">
        <v>0.58379999999999999</v>
      </c>
      <c r="X8" s="2">
        <v>8.3000000000000007</v>
      </c>
      <c r="Y8" s="2"/>
      <c r="Z8" s="2"/>
      <c r="AA8" s="2"/>
      <c r="AB8" s="2"/>
      <c r="AC8" s="47">
        <v>11145</v>
      </c>
      <c r="AD8" s="47">
        <v>3732</v>
      </c>
      <c r="AE8" s="46">
        <v>83</v>
      </c>
      <c r="AF8" s="47">
        <v>3009</v>
      </c>
      <c r="AG8" s="2"/>
      <c r="AH8" s="9" t="s">
        <v>225</v>
      </c>
      <c r="AI8" s="2"/>
      <c r="AJ8" s="2" t="s">
        <v>299</v>
      </c>
    </row>
    <row r="9" spans="1:36" s="6" customFormat="1" x14ac:dyDescent="0.25">
      <c r="A9" s="13">
        <f>'Universities Selection'!A10+1</f>
        <v>26</v>
      </c>
      <c r="B9" s="42" t="s">
        <v>438</v>
      </c>
      <c r="C9" s="2" t="s">
        <v>79</v>
      </c>
      <c r="D9" s="2" t="s">
        <v>78</v>
      </c>
      <c r="E9" s="2" t="s">
        <v>56</v>
      </c>
      <c r="F9" s="2"/>
      <c r="G9" s="2"/>
      <c r="H9" s="20"/>
      <c r="I9" s="2"/>
      <c r="J9" s="2">
        <v>0</v>
      </c>
      <c r="K9" s="2"/>
      <c r="L9" s="2"/>
      <c r="M9" s="22" t="s">
        <v>298</v>
      </c>
      <c r="N9" s="29">
        <v>80</v>
      </c>
      <c r="O9" s="2" t="s">
        <v>39</v>
      </c>
      <c r="P9" s="2" t="s">
        <v>160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57</v>
      </c>
      <c r="W9" s="2">
        <v>3.3999999999999998E-3</v>
      </c>
      <c r="X9" s="2">
        <v>78.400000000000006</v>
      </c>
      <c r="Y9" s="2"/>
      <c r="Z9" s="2"/>
      <c r="AA9" s="2"/>
      <c r="AB9" s="2"/>
      <c r="AC9" s="47">
        <v>25038</v>
      </c>
      <c r="AD9" s="47">
        <v>2933</v>
      </c>
      <c r="AE9" s="46">
        <v>42</v>
      </c>
      <c r="AF9" s="47">
        <v>2042</v>
      </c>
      <c r="AG9" s="2"/>
      <c r="AH9" s="9" t="s">
        <v>218</v>
      </c>
      <c r="AI9" s="2"/>
      <c r="AJ9" s="2"/>
    </row>
    <row r="10" spans="1:36" s="6" customFormat="1" x14ac:dyDescent="0.25">
      <c r="A10" s="13">
        <v>6</v>
      </c>
      <c r="B10" s="42" t="s">
        <v>17</v>
      </c>
      <c r="C10" s="2" t="s">
        <v>60</v>
      </c>
      <c r="D10" s="2" t="s">
        <v>61</v>
      </c>
      <c r="E10" s="2" t="s">
        <v>56</v>
      </c>
      <c r="F10" s="2">
        <v>30</v>
      </c>
      <c r="G10" s="2"/>
      <c r="H10" s="20"/>
      <c r="I10" s="2"/>
      <c r="J10" s="2">
        <v>0</v>
      </c>
      <c r="K10" s="2"/>
      <c r="L10" s="2"/>
      <c r="M10" s="2"/>
      <c r="N10" s="29">
        <v>80</v>
      </c>
      <c r="O10" s="2" t="s">
        <v>39</v>
      </c>
      <c r="P10" s="2" t="s">
        <v>160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8</v>
      </c>
      <c r="W10" s="2">
        <v>0.58320000000000005</v>
      </c>
      <c r="X10" s="2">
        <v>5.6</v>
      </c>
      <c r="Y10" s="2"/>
      <c r="Z10" s="2"/>
      <c r="AA10" s="2"/>
      <c r="AB10" s="2"/>
      <c r="AC10" s="47">
        <v>22727</v>
      </c>
      <c r="AD10" s="47">
        <v>5495</v>
      </c>
      <c r="AE10" s="46">
        <v>85</v>
      </c>
      <c r="AF10" s="47">
        <v>4542</v>
      </c>
      <c r="AG10" s="2"/>
      <c r="AH10" s="9" t="s">
        <v>215</v>
      </c>
      <c r="AI10" s="2"/>
      <c r="AJ10" s="2" t="s">
        <v>293</v>
      </c>
    </row>
    <row r="11" spans="1:36" s="6" customFormat="1" x14ac:dyDescent="0.25">
      <c r="A11" s="13">
        <v>21</v>
      </c>
      <c r="B11" s="42" t="s">
        <v>35</v>
      </c>
      <c r="C11" s="2" t="s">
        <v>60</v>
      </c>
      <c r="D11" s="2" t="s">
        <v>61</v>
      </c>
      <c r="E11" s="2" t="s">
        <v>56</v>
      </c>
      <c r="F11" s="2"/>
      <c r="G11" s="20"/>
      <c r="H11" s="2"/>
      <c r="I11" s="2"/>
      <c r="J11" s="2"/>
      <c r="K11" s="29">
        <v>90</v>
      </c>
      <c r="L11" s="2" t="s">
        <v>160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1</v>
      </c>
      <c r="S11" s="2">
        <v>0.58379999999999999</v>
      </c>
      <c r="T11" s="2">
        <v>8.3000000000000007</v>
      </c>
      <c r="U11" s="2">
        <f>VLOOKUP(B11,Rank_Data_All,37,FALSE)</f>
        <v>70.55</v>
      </c>
      <c r="V11" s="2">
        <f>VLOOKUP(B11,Rank_Data_All,9,FALSE)</f>
        <v>98.7</v>
      </c>
      <c r="W11" s="2"/>
      <c r="X11" s="47">
        <v>11145</v>
      </c>
      <c r="Y11" s="47">
        <v>3732</v>
      </c>
      <c r="Z11" s="46">
        <v>83</v>
      </c>
      <c r="AA11" s="47">
        <v>3009</v>
      </c>
      <c r="AB11" s="2"/>
      <c r="AC11" s="9" t="s">
        <v>225</v>
      </c>
      <c r="AD11" s="2"/>
      <c r="AE11" s="2" t="s">
        <v>299</v>
      </c>
    </row>
    <row r="12" spans="1:36" s="6" customFormat="1" x14ac:dyDescent="0.25">
      <c r="A12" s="13">
        <v>38</v>
      </c>
      <c r="B12" s="42" t="s">
        <v>117</v>
      </c>
      <c r="C12" s="2" t="s">
        <v>141</v>
      </c>
      <c r="D12" s="2" t="s">
        <v>146</v>
      </c>
      <c r="E12" s="2" t="s">
        <v>56</v>
      </c>
      <c r="F12" s="2"/>
      <c r="G12" s="20" t="s">
        <v>259</v>
      </c>
      <c r="H12" s="2"/>
      <c r="I12" s="2"/>
      <c r="J12" s="15">
        <v>43449</v>
      </c>
      <c r="K12" s="29">
        <v>108</v>
      </c>
      <c r="L12" s="2" t="s">
        <v>160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16</v>
      </c>
      <c r="S12" s="2">
        <v>0.11890000000000001</v>
      </c>
      <c r="T12" s="2">
        <v>7.1</v>
      </c>
      <c r="U12" s="2">
        <f>VLOOKUP(B12,Rank_Data_All,37,FALSE)</f>
        <v>57.43</v>
      </c>
      <c r="V12" s="2">
        <f>VLOOKUP(B12,Rank_Data_All,9,FALSE)</f>
        <v>83.5</v>
      </c>
      <c r="W12" s="2"/>
      <c r="X12" s="47">
        <v>8017</v>
      </c>
      <c r="Y12" s="47">
        <v>1793</v>
      </c>
      <c r="Z12" s="46">
        <v>65</v>
      </c>
      <c r="AA12" s="48">
        <v>987</v>
      </c>
      <c r="AB12" s="2" t="s">
        <v>644</v>
      </c>
      <c r="AC12" s="9" t="s">
        <v>227</v>
      </c>
      <c r="AD12" s="2"/>
      <c r="AE12" s="2" t="s">
        <v>735</v>
      </c>
    </row>
    <row r="13" spans="1:36" s="6" customFormat="1" x14ac:dyDescent="0.25">
      <c r="A13" s="13">
        <v>40</v>
      </c>
      <c r="B13" s="54" t="s">
        <v>119</v>
      </c>
      <c r="C13" s="2" t="s">
        <v>147</v>
      </c>
      <c r="D13" s="2" t="s">
        <v>136</v>
      </c>
      <c r="E13" s="2" t="s">
        <v>56</v>
      </c>
      <c r="F13" s="2">
        <v>30</v>
      </c>
      <c r="G13" s="20" t="s">
        <v>262</v>
      </c>
      <c r="H13" s="2"/>
      <c r="I13" s="2"/>
      <c r="J13" s="15">
        <v>43483</v>
      </c>
      <c r="K13" s="29"/>
      <c r="L13" s="2" t="s">
        <v>160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10</v>
      </c>
      <c r="S13" s="2">
        <v>0.96409999999999996</v>
      </c>
      <c r="T13" s="2">
        <v>53.3</v>
      </c>
      <c r="U13" s="2">
        <f>VLOOKUP(B13,Rank_Data_All,37,FALSE)</f>
        <v>61.31</v>
      </c>
      <c r="V13" s="2">
        <f>VLOOKUP(B13,Rank_Data_All,9,FALSE)</f>
        <v>71.7</v>
      </c>
      <c r="W13" s="2"/>
      <c r="X13" s="47">
        <v>52346</v>
      </c>
      <c r="Y13" s="47">
        <v>7863</v>
      </c>
      <c r="Z13" s="46">
        <v>34</v>
      </c>
      <c r="AA13" s="47">
        <v>2796</v>
      </c>
      <c r="AB13" s="2"/>
      <c r="AC13" s="9" t="s">
        <v>224</v>
      </c>
      <c r="AD13" s="2"/>
      <c r="AE13" s="2" t="s">
        <v>337</v>
      </c>
    </row>
    <row r="14" spans="1:36" s="6" customFormat="1" x14ac:dyDescent="0.25">
      <c r="A14" s="13">
        <v>21</v>
      </c>
      <c r="B14" s="58" t="s">
        <v>36</v>
      </c>
      <c r="C14" s="2" t="s">
        <v>106</v>
      </c>
      <c r="D14" s="2" t="s">
        <v>95</v>
      </c>
      <c r="E14" s="2" t="s">
        <v>56</v>
      </c>
      <c r="F14" s="2"/>
      <c r="G14" s="20"/>
      <c r="H14" s="2"/>
      <c r="I14" s="2"/>
      <c r="J14" s="15">
        <v>43438</v>
      </c>
      <c r="K14" s="29">
        <v>89</v>
      </c>
      <c r="L14" s="2" t="s">
        <v>160</v>
      </c>
      <c r="M14" s="3">
        <v>51353</v>
      </c>
      <c r="N14" s="3">
        <v>18804</v>
      </c>
      <c r="O14" s="3">
        <f>M14+N14</f>
        <v>70157</v>
      </c>
      <c r="P14" s="3"/>
      <c r="Q14" s="2"/>
      <c r="R14" s="2">
        <f>VLOOKUP(B14,Overall_Rank,2,)</f>
        <v>2</v>
      </c>
      <c r="S14" s="2">
        <v>1</v>
      </c>
      <c r="T14" s="2">
        <v>5</v>
      </c>
      <c r="U14" s="2">
        <f>VLOOKUP(B14,Rank_Data_All,37,FALSE)</f>
        <v>69.540000000000006</v>
      </c>
      <c r="V14" s="2">
        <f>VLOOKUP(B14,Rank_Data_All,9,FALSE)</f>
        <v>96</v>
      </c>
      <c r="W14" s="2"/>
      <c r="X14" s="47">
        <v>16135</v>
      </c>
      <c r="Y14" s="47">
        <v>3665</v>
      </c>
      <c r="Z14" s="46">
        <v>83</v>
      </c>
      <c r="AA14" s="47">
        <v>4366</v>
      </c>
      <c r="AB14" s="2"/>
      <c r="AC14" s="9" t="s">
        <v>226</v>
      </c>
      <c r="AD14" s="2"/>
      <c r="AE14" s="2"/>
    </row>
    <row r="15" spans="1:36" s="6" customFormat="1" x14ac:dyDescent="0.25">
      <c r="A15" s="13">
        <v>22</v>
      </c>
      <c r="B15" s="58" t="s">
        <v>42</v>
      </c>
      <c r="C15" s="2" t="s">
        <v>98</v>
      </c>
      <c r="D15" s="2" t="s">
        <v>95</v>
      </c>
      <c r="E15" s="2" t="s">
        <v>56</v>
      </c>
      <c r="F15" s="2"/>
      <c r="G15" s="20"/>
      <c r="H15" s="2"/>
      <c r="I15" s="15"/>
      <c r="J15" s="15">
        <v>43435</v>
      </c>
      <c r="K15" s="29" t="s">
        <v>292</v>
      </c>
      <c r="L15" s="2" t="s">
        <v>160</v>
      </c>
      <c r="M15" s="3">
        <v>52234</v>
      </c>
      <c r="N15" s="3">
        <v>17468</v>
      </c>
      <c r="O15" s="3">
        <f>M15+N15</f>
        <v>69702</v>
      </c>
      <c r="P15" s="3"/>
      <c r="Q15" s="2"/>
      <c r="R15" s="2">
        <f>VLOOKUP(B15,Overall_Rank,2,)</f>
        <v>35</v>
      </c>
      <c r="S15" s="2">
        <v>0.28889999999999999</v>
      </c>
      <c r="T15" s="2">
        <v>8.8000000000000007</v>
      </c>
      <c r="U15" s="2">
        <f>VLOOKUP(B15,Rank_Data_All,37,FALSE)</f>
        <v>46.43</v>
      </c>
      <c r="V15" s="2">
        <f>VLOOKUP(B15,Rank_Data_All,9,FALSE)</f>
        <v>80.900000000000006</v>
      </c>
      <c r="W15" s="2"/>
      <c r="X15" s="47">
        <v>2239</v>
      </c>
      <c r="Y15" s="48">
        <v>667</v>
      </c>
      <c r="Z15" s="46">
        <v>87</v>
      </c>
      <c r="AA15" s="47">
        <v>1009</v>
      </c>
      <c r="AB15" s="2"/>
      <c r="AC15" s="9" t="s">
        <v>225</v>
      </c>
      <c r="AD15" s="2"/>
      <c r="AE15" s="2" t="s">
        <v>772</v>
      </c>
    </row>
    <row r="16" spans="1:36" s="6" customFormat="1" x14ac:dyDescent="0.25">
      <c r="A16" s="13">
        <v>22</v>
      </c>
      <c r="B16" s="57" t="s">
        <v>19</v>
      </c>
      <c r="C16" s="2" t="s">
        <v>66</v>
      </c>
      <c r="D16" s="2" t="s">
        <v>66</v>
      </c>
      <c r="E16" s="2" t="s">
        <v>75</v>
      </c>
      <c r="F16" s="2"/>
      <c r="G16" s="20" t="s">
        <v>774</v>
      </c>
      <c r="H16" s="20" t="s">
        <v>276</v>
      </c>
      <c r="I16" s="2"/>
      <c r="J16" s="2"/>
      <c r="K16" s="15">
        <v>43539</v>
      </c>
      <c r="L16" s="29">
        <v>90</v>
      </c>
      <c r="M16" s="2" t="s">
        <v>162</v>
      </c>
      <c r="N16" s="3">
        <v>37550</v>
      </c>
      <c r="O16" s="3">
        <v>10386</v>
      </c>
      <c r="P16" s="3">
        <f>N16+O16</f>
        <v>47936</v>
      </c>
      <c r="Q16" s="3"/>
      <c r="R16" s="2"/>
      <c r="S16" s="2">
        <f>VLOOKUP(B16,Overall_Rank,2,)</f>
        <v>18</v>
      </c>
      <c r="T16" s="2">
        <v>0.2334</v>
      </c>
      <c r="U16" s="2"/>
      <c r="V16" s="2">
        <f>VLOOKUP(B16,Rank_Data_All,37,FALSE)</f>
        <v>55.83</v>
      </c>
      <c r="W16" s="2">
        <f>VLOOKUP(B16,Rank_Data_All,9,FALSE)</f>
        <v>89.8</v>
      </c>
      <c r="X16" s="2"/>
      <c r="Y16" s="47">
        <v>30226</v>
      </c>
      <c r="Z16" s="47">
        <v>7787</v>
      </c>
      <c r="AA16" s="46">
        <v>52</v>
      </c>
      <c r="AB16" s="47">
        <v>4766</v>
      </c>
      <c r="AC16" s="2"/>
      <c r="AD16" s="9" t="s">
        <v>215</v>
      </c>
      <c r="AE16" s="2"/>
      <c r="AF16" s="2" t="s">
        <v>800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Universities Selection</vt:lpstr>
      <vt:lpstr>Additional Comments</vt:lpstr>
      <vt:lpstr>Relevant Programs</vt:lpstr>
      <vt:lpstr>Rankings_Exp</vt:lpstr>
      <vt:lpstr>Rankings</vt:lpstr>
      <vt:lpstr>CanBeAdded</vt:lpstr>
      <vt:lpstr>CS_Ranking_Lkp</vt:lpstr>
      <vt:lpstr>Citites</vt:lpstr>
      <vt:lpstr>Deprecated Universities</vt:lpstr>
      <vt:lpstr>Application Checklist</vt:lpstr>
      <vt:lpstr>University Application</vt:lpstr>
      <vt:lpstr>Reference</vt:lpstr>
      <vt:lpstr>AI_Rank</vt:lpstr>
      <vt:lpstr>Rankings_Exp!Back_Lkp</vt:lpstr>
      <vt:lpstr>Back_Lkp</vt:lpstr>
      <vt:lpstr>InterD_Rank</vt:lpstr>
      <vt:lpstr>Overall_Rank</vt:lpstr>
      <vt:lpstr>Rank_Data_All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2018-08-20T22:21:48Z</dcterms:modified>
</cp:coreProperties>
</file>