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945" yWindow="0" windowWidth="11850" windowHeight="11760" tabRatio="932" activeTab="6"/>
  </bookViews>
  <sheets>
    <sheet name="OHT" sheetId="1" r:id="rId1"/>
    <sheet name="GLSR" sheetId="2" r:id="rId2"/>
    <sheet name="Pipeline" sheetId="3" r:id="rId3"/>
    <sheet name="Panal board" sheetId="4" r:id="rId4"/>
    <sheet name="General Abstract" sheetId="11" r:id="rId5"/>
    <sheet name="Report" sheetId="12" state="hidden" r:id="rId6"/>
    <sheet name="FIS" sheetId="13" r:id="rId7"/>
    <sheet name="Supplimentary Data Details" sheetId="14" r:id="rId8"/>
    <sheet name="Panal Board data" sheetId="17" r:id="rId9"/>
    <sheet name="Sheet1" sheetId="19" r:id="rId10"/>
    <sheet name="Sheet2" sheetId="20" r:id="rId11"/>
  </sheets>
  <externalReferences>
    <externalReference r:id="rId12"/>
    <externalReference r:id="rId13"/>
  </externalReferences>
  <definedNames>
    <definedName name="_xlnm._FilterDatabase" localSheetId="6" hidden="1">FIS!$M$281:$M$284</definedName>
    <definedName name="_xlnm.Print_Area" localSheetId="6">FIS!$A$1:$M$314</definedName>
    <definedName name="_xlnm.Print_Area" localSheetId="4">'General Abstract'!$A$1:$G$32</definedName>
    <definedName name="_xlnm.Print_Area" localSheetId="8">'Panal Board data'!$A$1:$J$459</definedName>
    <definedName name="_xlnm.Print_Area" localSheetId="7">'Supplimentary Data Details'!$A$1:$J$377</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 i="11"/>
  <c r="I174" i="13" l="1"/>
  <c r="I173"/>
  <c r="L170"/>
  <c r="H198"/>
  <c r="H197"/>
  <c r="H196"/>
  <c r="H194"/>
  <c r="H193"/>
  <c r="H190"/>
  <c r="H189"/>
  <c r="H188"/>
  <c r="H243"/>
  <c r="H242"/>
  <c r="H241"/>
  <c r="H240"/>
  <c r="H234"/>
  <c r="H235"/>
  <c r="H237"/>
  <c r="H302"/>
  <c r="I171" i="4"/>
  <c r="G434" i="17"/>
  <c r="G435" s="1"/>
  <c r="G436" s="1"/>
  <c r="G437" s="1"/>
  <c r="I168" i="4"/>
  <c r="I169"/>
  <c r="I170"/>
  <c r="I172"/>
  <c r="I173"/>
  <c r="I167"/>
  <c r="G170"/>
  <c r="H296" i="13"/>
  <c r="I153" i="4"/>
  <c r="I127"/>
  <c r="I123"/>
  <c r="H391" i="17"/>
  <c r="H392" s="1"/>
  <c r="H119" i="4"/>
  <c r="H118"/>
  <c r="H117"/>
  <c r="F114"/>
  <c r="H114" s="1"/>
  <c r="H113"/>
  <c r="F112"/>
  <c r="H112" s="1"/>
  <c r="H111"/>
  <c r="H110"/>
  <c r="H108"/>
  <c r="H107"/>
  <c r="H106"/>
  <c r="E77"/>
  <c r="I77" s="1"/>
  <c r="H272" i="13"/>
  <c r="G15" i="3"/>
  <c r="G13"/>
  <c r="D20"/>
  <c r="G20" s="1"/>
  <c r="D18"/>
  <c r="G18" s="1"/>
  <c r="H254" i="13"/>
  <c r="G11" i="3"/>
  <c r="G9"/>
  <c r="G7"/>
  <c r="G253" i="14"/>
  <c r="G254" s="1"/>
  <c r="G255" s="1"/>
  <c r="G245"/>
  <c r="G246" s="1"/>
  <c r="J278" i="1"/>
  <c r="J277"/>
  <c r="J276"/>
  <c r="B275"/>
  <c r="G274"/>
  <c r="G268"/>
  <c r="G266"/>
  <c r="J238"/>
  <c r="J239"/>
  <c r="J240"/>
  <c r="J241"/>
  <c r="J242"/>
  <c r="J243"/>
  <c r="J244"/>
  <c r="J246"/>
  <c r="J247"/>
  <c r="J248"/>
  <c r="J249"/>
  <c r="J237"/>
  <c r="J229"/>
  <c r="J230"/>
  <c r="J228"/>
  <c r="J225"/>
  <c r="J226"/>
  <c r="J224"/>
  <c r="G104" i="14"/>
  <c r="G103"/>
  <c r="G102"/>
  <c r="G101"/>
  <c r="G100"/>
  <c r="G99"/>
  <c r="G98"/>
  <c r="G97"/>
  <c r="G96"/>
  <c r="G46"/>
  <c r="G47" s="1"/>
  <c r="G113" i="17"/>
  <c r="G121"/>
  <c r="G120"/>
  <c r="H393" l="1"/>
  <c r="G438"/>
  <c r="H120" i="4"/>
  <c r="H115"/>
  <c r="E106" i="14"/>
  <c r="G106" s="1"/>
  <c r="G256"/>
  <c r="G247"/>
  <c r="G248" s="1"/>
  <c r="G105"/>
  <c r="G48"/>
  <c r="G119" i="17"/>
  <c r="G118"/>
  <c r="G293" i="14"/>
  <c r="G292"/>
  <c r="H395" i="17" l="1"/>
  <c r="I296" i="13" s="1"/>
  <c r="J296" s="1"/>
  <c r="H394" i="17"/>
  <c r="G439"/>
  <c r="G440" s="1"/>
  <c r="I302" i="13" s="1"/>
  <c r="J302" s="1"/>
  <c r="H121" i="4"/>
  <c r="H276" i="13" s="1"/>
  <c r="G107" i="14"/>
  <c r="G108" s="1"/>
  <c r="G109" s="1"/>
  <c r="G110" s="1"/>
  <c r="G257"/>
  <c r="G258" s="1"/>
  <c r="I241" i="13" s="1"/>
  <c r="J241" s="1"/>
  <c r="G249" i="14"/>
  <c r="G250" s="1"/>
  <c r="I240" i="13" s="1"/>
  <c r="J240" s="1"/>
  <c r="G294" i="14"/>
  <c r="G295" s="1"/>
  <c r="G296" s="1"/>
  <c r="G297" s="1"/>
  <c r="G299" s="1"/>
  <c r="G49"/>
  <c r="G50" s="1"/>
  <c r="I194" i="13" s="1"/>
  <c r="J194" s="1"/>
  <c r="G305" i="14"/>
  <c r="G111" l="1"/>
  <c r="G112" s="1"/>
  <c r="I198" i="13" s="1"/>
  <c r="J198" s="1"/>
  <c r="G300" i="14"/>
  <c r="G301" s="1"/>
  <c r="I249" i="13" s="1"/>
  <c r="G306" i="14"/>
  <c r="G307" s="1"/>
  <c r="G273"/>
  <c r="L174" i="13"/>
  <c r="L173"/>
  <c r="G453" i="17"/>
  <c r="G454" s="1"/>
  <c r="G455" s="1"/>
  <c r="G444"/>
  <c r="G445" s="1"/>
  <c r="G446" s="1"/>
  <c r="H301" i="13"/>
  <c r="H271" i="17"/>
  <c r="H272" s="1"/>
  <c r="E274"/>
  <c r="E275" s="1"/>
  <c r="H279"/>
  <c r="H280" s="1"/>
  <c r="E282"/>
  <c r="E283" s="1"/>
  <c r="H288"/>
  <c r="H289" s="1"/>
  <c r="E291"/>
  <c r="E292" s="1"/>
  <c r="H299"/>
  <c r="E303"/>
  <c r="E304" s="1"/>
  <c r="E310"/>
  <c r="E311" s="1"/>
  <c r="H315"/>
  <c r="H316" s="1"/>
  <c r="E318"/>
  <c r="E319" s="1"/>
  <c r="H323"/>
  <c r="H324" s="1"/>
  <c r="E326"/>
  <c r="E327" s="1"/>
  <c r="H331"/>
  <c r="H332" s="1"/>
  <c r="E334"/>
  <c r="E335" s="1"/>
  <c r="H339"/>
  <c r="H340" s="1"/>
  <c r="E342"/>
  <c r="E343" s="1"/>
  <c r="H347"/>
  <c r="H348" s="1"/>
  <c r="E350"/>
  <c r="E351" s="1"/>
  <c r="H355"/>
  <c r="H356" s="1"/>
  <c r="E358"/>
  <c r="E359" s="1"/>
  <c r="H363"/>
  <c r="H364" s="1"/>
  <c r="E366"/>
  <c r="E367" s="1"/>
  <c r="H371"/>
  <c r="H372" s="1"/>
  <c r="E374"/>
  <c r="E375" s="1"/>
  <c r="I293" i="13" s="1"/>
  <c r="E381" i="17"/>
  <c r="E382" s="1"/>
  <c r="H386"/>
  <c r="E388"/>
  <c r="E389" s="1"/>
  <c r="G424"/>
  <c r="G425" s="1"/>
  <c r="G415"/>
  <c r="G416" s="1"/>
  <c r="G417" s="1"/>
  <c r="G408"/>
  <c r="G409" s="1"/>
  <c r="E399"/>
  <c r="G399" s="1"/>
  <c r="G400" s="1"/>
  <c r="H278" i="13"/>
  <c r="H261" i="17"/>
  <c r="C262" s="1"/>
  <c r="G263" s="1"/>
  <c r="H215"/>
  <c r="H213"/>
  <c r="H212"/>
  <c r="H211"/>
  <c r="H210"/>
  <c r="H209"/>
  <c r="H208"/>
  <c r="H207"/>
  <c r="H206"/>
  <c r="H182"/>
  <c r="H183"/>
  <c r="H184"/>
  <c r="H185"/>
  <c r="H186"/>
  <c r="H187"/>
  <c r="H188"/>
  <c r="H189"/>
  <c r="H190"/>
  <c r="H191"/>
  <c r="H192"/>
  <c r="H193"/>
  <c r="H195"/>
  <c r="G308" i="14" l="1"/>
  <c r="G309" s="1"/>
  <c r="G456" i="17"/>
  <c r="G457" s="1"/>
  <c r="G447"/>
  <c r="G448" s="1"/>
  <c r="H300"/>
  <c r="H301" s="1"/>
  <c r="G264"/>
  <c r="I278" i="13" s="1"/>
  <c r="J278" s="1"/>
  <c r="G418" i="17"/>
  <c r="G419" s="1"/>
  <c r="G401"/>
  <c r="G410"/>
  <c r="G426"/>
  <c r="H194"/>
  <c r="H196" s="1"/>
  <c r="H197" s="1"/>
  <c r="H198" s="1"/>
  <c r="C199" s="1"/>
  <c r="E214"/>
  <c r="H214" s="1"/>
  <c r="H216" s="1"/>
  <c r="G231"/>
  <c r="G230"/>
  <c r="G229"/>
  <c r="G226"/>
  <c r="G225"/>
  <c r="G244"/>
  <c r="G243"/>
  <c r="G249"/>
  <c r="G248"/>
  <c r="G247"/>
  <c r="C170"/>
  <c r="B170"/>
  <c r="G168"/>
  <c r="G167"/>
  <c r="C165"/>
  <c r="G165" s="1"/>
  <c r="G164"/>
  <c r="C161"/>
  <c r="B161"/>
  <c r="G160"/>
  <c r="G159"/>
  <c r="G158"/>
  <c r="G117"/>
  <c r="G115"/>
  <c r="G114"/>
  <c r="G136"/>
  <c r="G135"/>
  <c r="G134"/>
  <c r="G132"/>
  <c r="G131"/>
  <c r="G87"/>
  <c r="G88"/>
  <c r="G89"/>
  <c r="G86"/>
  <c r="G83"/>
  <c r="G122" l="1"/>
  <c r="G310" i="14"/>
  <c r="G311" s="1"/>
  <c r="I251" i="13" s="1"/>
  <c r="G458" i="17"/>
  <c r="G459" s="1"/>
  <c r="I304" i="13" s="1"/>
  <c r="G449" i="17"/>
  <c r="G450" s="1"/>
  <c r="I303" i="13" s="1"/>
  <c r="G427" i="17"/>
  <c r="G428" s="1"/>
  <c r="G420"/>
  <c r="G421" s="1"/>
  <c r="I300" i="13" s="1"/>
  <c r="G402" i="17"/>
  <c r="G403" s="1"/>
  <c r="G411"/>
  <c r="G412" s="1"/>
  <c r="I299" i="13" s="1"/>
  <c r="H217" i="17"/>
  <c r="C218" s="1"/>
  <c r="C219" s="1"/>
  <c r="H200"/>
  <c r="H201" s="1"/>
  <c r="I274" i="13" s="1"/>
  <c r="G227" i="17"/>
  <c r="G245"/>
  <c r="E232"/>
  <c r="G232" s="1"/>
  <c r="G233" s="1"/>
  <c r="E250"/>
  <c r="G250" s="1"/>
  <c r="G251" s="1"/>
  <c r="E161"/>
  <c r="G161" s="1"/>
  <c r="G169" s="1"/>
  <c r="G90"/>
  <c r="E123"/>
  <c r="G123" s="1"/>
  <c r="E137"/>
  <c r="G137" s="1"/>
  <c r="E138" s="1"/>
  <c r="G138" s="1"/>
  <c r="G429" l="1"/>
  <c r="G430" s="1"/>
  <c r="G404"/>
  <c r="G405" s="1"/>
  <c r="I298" i="13" s="1"/>
  <c r="H220" i="17"/>
  <c r="H221" s="1"/>
  <c r="I275" i="13" s="1"/>
  <c r="G234" i="17"/>
  <c r="G235" s="1"/>
  <c r="G236" s="1"/>
  <c r="G237" s="1"/>
  <c r="G252"/>
  <c r="G253" s="1"/>
  <c r="G254" s="1"/>
  <c r="G255" s="1"/>
  <c r="E170"/>
  <c r="G170" s="1"/>
  <c r="G171" s="1"/>
  <c r="G172" s="1"/>
  <c r="G139"/>
  <c r="E140" s="1"/>
  <c r="G140" s="1"/>
  <c r="G141" s="1"/>
  <c r="G142" s="1"/>
  <c r="G143" s="1"/>
  <c r="G124"/>
  <c r="G431" l="1"/>
  <c r="G432" s="1"/>
  <c r="I301" i="13" s="1"/>
  <c r="J301" s="1"/>
  <c r="G238" i="17"/>
  <c r="G239" s="1"/>
  <c r="I276" i="13" s="1"/>
  <c r="G256" i="17"/>
  <c r="G257" s="1"/>
  <c r="I277" i="13" s="1"/>
  <c r="G173" i="17"/>
  <c r="G174" s="1"/>
  <c r="G125"/>
  <c r="G126" s="1"/>
  <c r="G144"/>
  <c r="G145" s="1"/>
  <c r="I271" i="13" s="1"/>
  <c r="I270" l="1"/>
  <c r="G127" i="17"/>
  <c r="G128" s="1"/>
  <c r="G175"/>
  <c r="G176" s="1"/>
  <c r="G177" l="1"/>
  <c r="G178" s="1"/>
  <c r="I273" i="13" s="1"/>
  <c r="G372" i="14" l="1"/>
  <c r="G373" s="1"/>
  <c r="G364"/>
  <c r="G365" s="1"/>
  <c r="F285"/>
  <c r="F286" s="1"/>
  <c r="F281"/>
  <c r="G261"/>
  <c r="G262" s="1"/>
  <c r="G212"/>
  <c r="G213" s="1"/>
  <c r="G214" s="1"/>
  <c r="G220"/>
  <c r="G221" s="1"/>
  <c r="G230"/>
  <c r="G186"/>
  <c r="G187" s="1"/>
  <c r="G206"/>
  <c r="G207" s="1"/>
  <c r="G203"/>
  <c r="G200"/>
  <c r="G201" s="1"/>
  <c r="G196"/>
  <c r="G197" s="1"/>
  <c r="G198" s="1"/>
  <c r="I226" i="13" s="1"/>
  <c r="G193" i="14"/>
  <c r="G194" s="1"/>
  <c r="G189"/>
  <c r="B217" i="13"/>
  <c r="G176" i="14"/>
  <c r="G175"/>
  <c r="G174"/>
  <c r="G171"/>
  <c r="G170"/>
  <c r="G168"/>
  <c r="E167"/>
  <c r="G167" s="1"/>
  <c r="E166"/>
  <c r="G166" s="1"/>
  <c r="E165"/>
  <c r="G165" s="1"/>
  <c r="E164"/>
  <c r="G164" s="1"/>
  <c r="B160"/>
  <c r="G352"/>
  <c r="G351"/>
  <c r="G350"/>
  <c r="G349"/>
  <c r="G348"/>
  <c r="G347"/>
  <c r="G346"/>
  <c r="G345"/>
  <c r="G344"/>
  <c r="G343"/>
  <c r="G342"/>
  <c r="G341"/>
  <c r="G340"/>
  <c r="G374" l="1"/>
  <c r="G375" s="1"/>
  <c r="G366"/>
  <c r="G367" s="1"/>
  <c r="F287"/>
  <c r="I248" i="13" s="1"/>
  <c r="F282" i="14"/>
  <c r="F283" s="1"/>
  <c r="I246" i="13" s="1"/>
  <c r="G263" i="14"/>
  <c r="G264" s="1"/>
  <c r="G231"/>
  <c r="G232" s="1"/>
  <c r="G215"/>
  <c r="G216" s="1"/>
  <c r="G222"/>
  <c r="G190"/>
  <c r="G191" s="1"/>
  <c r="I223" i="13" s="1"/>
  <c r="G195" i="14"/>
  <c r="I225" i="13" s="1"/>
  <c r="G204" i="14"/>
  <c r="G205" s="1"/>
  <c r="I229" i="13" s="1"/>
  <c r="G208" i="14"/>
  <c r="I230" i="13" s="1"/>
  <c r="G188" i="14"/>
  <c r="I222" i="13" s="1"/>
  <c r="G202" i="14"/>
  <c r="I228" i="13" s="1"/>
  <c r="G353" i="14"/>
  <c r="G354" s="1"/>
  <c r="G356" s="1"/>
  <c r="E177"/>
  <c r="G177" s="1"/>
  <c r="G178" s="1"/>
  <c r="G376" l="1"/>
  <c r="G377" s="1"/>
  <c r="I259" i="13" s="1"/>
  <c r="G368" i="14"/>
  <c r="G369" s="1"/>
  <c r="I257" i="13" s="1"/>
  <c r="G265" i="14"/>
  <c r="G266" s="1"/>
  <c r="I242" i="13" s="1"/>
  <c r="G217" i="14"/>
  <c r="G218" s="1"/>
  <c r="G223"/>
  <c r="G224" s="1"/>
  <c r="E179"/>
  <c r="G179" s="1"/>
  <c r="G355"/>
  <c r="G357" s="1"/>
  <c r="G358" s="1"/>
  <c r="G359" s="1"/>
  <c r="G360" s="1"/>
  <c r="I254" i="13" s="1"/>
  <c r="J254" s="1"/>
  <c r="G225" i="14" l="1"/>
  <c r="G226" s="1"/>
  <c r="E180"/>
  <c r="G180" s="1"/>
  <c r="G182" s="1"/>
  <c r="G84"/>
  <c r="G83"/>
  <c r="G82"/>
  <c r="G81"/>
  <c r="G80"/>
  <c r="G79"/>
  <c r="G78"/>
  <c r="G77"/>
  <c r="G76"/>
  <c r="G64"/>
  <c r="G57"/>
  <c r="G58"/>
  <c r="G59"/>
  <c r="G60"/>
  <c r="G61"/>
  <c r="G62"/>
  <c r="G63"/>
  <c r="G56"/>
  <c r="G32"/>
  <c r="G33" s="1"/>
  <c r="G39"/>
  <c r="G40" s="1"/>
  <c r="G41" s="1"/>
  <c r="G183" l="1"/>
  <c r="G184" s="1"/>
  <c r="E86"/>
  <c r="G86" s="1"/>
  <c r="G65"/>
  <c r="E66"/>
  <c r="G66" s="1"/>
  <c r="G85"/>
  <c r="G87" s="1"/>
  <c r="G42"/>
  <c r="G43" s="1"/>
  <c r="I193" i="13" s="1"/>
  <c r="G34" i="14"/>
  <c r="I220" i="13" l="1"/>
  <c r="J220" s="1"/>
  <c r="G67" i="14"/>
  <c r="G68" s="1"/>
  <c r="G88"/>
  <c r="G89" s="1"/>
  <c r="G90" s="1"/>
  <c r="G35"/>
  <c r="G36" s="1"/>
  <c r="I192" i="13" s="1"/>
  <c r="J192" s="1"/>
  <c r="G69" i="14" l="1"/>
  <c r="G70" s="1"/>
  <c r="G71" s="1"/>
  <c r="G91"/>
  <c r="G92" s="1"/>
  <c r="I197" i="13" s="1"/>
  <c r="G72" i="14" l="1"/>
  <c r="I196" i="13" s="1"/>
  <c r="J196" s="1"/>
  <c r="G101" i="17"/>
  <c r="E102" s="1"/>
  <c r="G102" s="1"/>
  <c r="B45"/>
  <c r="G61"/>
  <c r="G60"/>
  <c r="G59"/>
  <c r="G56"/>
  <c r="G55"/>
  <c r="G53"/>
  <c r="E52"/>
  <c r="G52" s="1"/>
  <c r="E51"/>
  <c r="G51" s="1"/>
  <c r="E50"/>
  <c r="G50" s="1"/>
  <c r="E49"/>
  <c r="G49" s="1"/>
  <c r="G37"/>
  <c r="G34"/>
  <c r="G35"/>
  <c r="G36"/>
  <c r="G33"/>
  <c r="G30"/>
  <c r="G31" s="1"/>
  <c r="G26"/>
  <c r="G25"/>
  <c r="G11"/>
  <c r="G8"/>
  <c r="G7"/>
  <c r="G103" l="1"/>
  <c r="G104" s="1"/>
  <c r="E105" s="1"/>
  <c r="G105" s="1"/>
  <c r="G106" s="1"/>
  <c r="G28"/>
  <c r="E27" s="1"/>
  <c r="G38"/>
  <c r="E62"/>
  <c r="G62" s="1"/>
  <c r="G63" s="1"/>
  <c r="G9"/>
  <c r="G12" s="1"/>
  <c r="G13" s="1"/>
  <c r="G39" l="1"/>
  <c r="E40" s="1"/>
  <c r="G40" s="1"/>
  <c r="G41" s="1"/>
  <c r="G107"/>
  <c r="G108" s="1"/>
  <c r="I269" i="13" s="1"/>
  <c r="E14" i="17"/>
  <c r="G14" s="1"/>
  <c r="G15" s="1"/>
  <c r="G42" l="1"/>
  <c r="G43" s="1"/>
  <c r="E64"/>
  <c r="G64" s="1"/>
  <c r="E65" s="1"/>
  <c r="G65" s="1"/>
  <c r="G67" s="1"/>
  <c r="G16"/>
  <c r="G17" s="1"/>
  <c r="I261" i="13" s="1"/>
  <c r="G68" i="17" l="1"/>
  <c r="G69" s="1"/>
  <c r="I265" i="13" s="1"/>
  <c r="I218" l="1"/>
  <c r="I219"/>
  <c r="J298"/>
  <c r="I295"/>
  <c r="I294"/>
  <c r="I292"/>
  <c r="I291"/>
  <c r="I290"/>
  <c r="I289"/>
  <c r="I288"/>
  <c r="I287"/>
  <c r="I286"/>
  <c r="I285"/>
  <c r="I284"/>
  <c r="I283"/>
  <c r="I282"/>
  <c r="H268"/>
  <c r="E20" i="17"/>
  <c r="G20" s="1"/>
  <c r="G147"/>
  <c r="G148" s="1"/>
  <c r="G82"/>
  <c r="G84" s="1"/>
  <c r="G91" s="1"/>
  <c r="G92" s="1"/>
  <c r="G73"/>
  <c r="G74" s="1"/>
  <c r="I263" i="13"/>
  <c r="F58" i="4"/>
  <c r="I58" s="1"/>
  <c r="I52" s="1"/>
  <c r="I48"/>
  <c r="I49" s="1"/>
  <c r="H93"/>
  <c r="H92"/>
  <c r="H91"/>
  <c r="F88"/>
  <c r="H88" s="1"/>
  <c r="H87"/>
  <c r="F86"/>
  <c r="H86" s="1"/>
  <c r="H85"/>
  <c r="H84"/>
  <c r="H81"/>
  <c r="H82"/>
  <c r="H80"/>
  <c r="I69"/>
  <c r="I70"/>
  <c r="I71"/>
  <c r="I72"/>
  <c r="I73"/>
  <c r="I68"/>
  <c r="I62"/>
  <c r="I63"/>
  <c r="I65"/>
  <c r="I61"/>
  <c r="F64"/>
  <c r="I64" s="1"/>
  <c r="I22"/>
  <c r="H42"/>
  <c r="G41"/>
  <c r="F41"/>
  <c r="G40"/>
  <c r="F40"/>
  <c r="H39"/>
  <c r="J333" i="14"/>
  <c r="J330"/>
  <c r="E322"/>
  <c r="E321"/>
  <c r="E316"/>
  <c r="C315"/>
  <c r="E315" s="1"/>
  <c r="E314"/>
  <c r="J238"/>
  <c r="J237"/>
  <c r="F236"/>
  <c r="J236" s="1"/>
  <c r="J235"/>
  <c r="J234"/>
  <c r="G6"/>
  <c r="G7" s="1"/>
  <c r="G8" s="1"/>
  <c r="I35" i="4"/>
  <c r="I34"/>
  <c r="I33"/>
  <c r="I31"/>
  <c r="I30"/>
  <c r="I29"/>
  <c r="I28"/>
  <c r="I26"/>
  <c r="I25"/>
  <c r="I53" s="1"/>
  <c r="I21"/>
  <c r="I15"/>
  <c r="I6"/>
  <c r="I4"/>
  <c r="F20"/>
  <c r="I20" s="1"/>
  <c r="F19"/>
  <c r="I19" s="1"/>
  <c r="F18"/>
  <c r="I18" s="1"/>
  <c r="F17"/>
  <c r="I17" s="1"/>
  <c r="H94" l="1"/>
  <c r="I54"/>
  <c r="I55" s="1"/>
  <c r="H269" i="13" s="1"/>
  <c r="J269" s="1"/>
  <c r="G93" i="17"/>
  <c r="G94" s="1"/>
  <c r="G95" s="1"/>
  <c r="G75"/>
  <c r="G76" s="1"/>
  <c r="E323" i="14"/>
  <c r="E324" s="1"/>
  <c r="J239"/>
  <c r="G21" i="17"/>
  <c r="G22" s="1"/>
  <c r="I262" i="13" s="1"/>
  <c r="E317" i="14"/>
  <c r="E318" s="1"/>
  <c r="G149" i="17"/>
  <c r="H89" i="4"/>
  <c r="H40"/>
  <c r="I23"/>
  <c r="H263" i="13" s="1"/>
  <c r="H41" i="4"/>
  <c r="G9" i="14"/>
  <c r="G10" s="1"/>
  <c r="H95" i="4" l="1"/>
  <c r="H273" i="13" s="1"/>
  <c r="G96" i="17"/>
  <c r="G97" s="1"/>
  <c r="I268" i="13" s="1"/>
  <c r="G77" i="17"/>
  <c r="G78" s="1"/>
  <c r="I267" i="13" s="1"/>
  <c r="J240" i="14"/>
  <c r="E325"/>
  <c r="G325" s="1"/>
  <c r="F328" s="1"/>
  <c r="J328" s="1"/>
  <c r="E319"/>
  <c r="G319" s="1"/>
  <c r="F327" s="1"/>
  <c r="J327" s="1"/>
  <c r="G150" i="17"/>
  <c r="G151" s="1"/>
  <c r="H43" i="4"/>
  <c r="H267" i="13" s="1"/>
  <c r="I235"/>
  <c r="I234"/>
  <c r="J242"/>
  <c r="G11" i="14"/>
  <c r="G12" s="1"/>
  <c r="I188" i="13" s="1"/>
  <c r="J188" s="1"/>
  <c r="F5" i="4"/>
  <c r="I5" s="1"/>
  <c r="G253" i="1"/>
  <c r="G254"/>
  <c r="G256"/>
  <c r="G258"/>
  <c r="G262"/>
  <c r="G263" l="1"/>
  <c r="J241" i="14"/>
  <c r="I237" i="13" s="1"/>
  <c r="F329" i="14"/>
  <c r="J329" s="1"/>
  <c r="J334" s="1"/>
  <c r="J335" s="1"/>
  <c r="J336" s="1"/>
  <c r="G152" i="17"/>
  <c r="G153" s="1"/>
  <c r="I272" i="13" s="1"/>
  <c r="J272" s="1"/>
  <c r="J337" i="14" l="1"/>
  <c r="J338" s="1"/>
  <c r="I252" i="13" s="1"/>
  <c r="J273" l="1"/>
  <c r="H20" i="2"/>
  <c r="H19"/>
  <c r="H18"/>
  <c r="H17"/>
  <c r="H16"/>
  <c r="H15"/>
  <c r="H9"/>
  <c r="H8"/>
  <c r="H7"/>
  <c r="H6"/>
  <c r="H5"/>
  <c r="J109" i="1"/>
  <c r="J108"/>
  <c r="K107"/>
  <c r="H107" s="1"/>
  <c r="J107" s="1"/>
  <c r="H106"/>
  <c r="J106" s="1"/>
  <c r="J105"/>
  <c r="J104"/>
  <c r="K103"/>
  <c r="H103" s="1"/>
  <c r="J103" s="1"/>
  <c r="J219"/>
  <c r="J218"/>
  <c r="J217"/>
  <c r="J216"/>
  <c r="I215"/>
  <c r="J215" s="1"/>
  <c r="I214"/>
  <c r="J214" s="1"/>
  <c r="J213"/>
  <c r="J212"/>
  <c r="J211"/>
  <c r="J210"/>
  <c r="J208"/>
  <c r="J207"/>
  <c r="J206"/>
  <c r="J205"/>
  <c r="J204"/>
  <c r="J203"/>
  <c r="J202"/>
  <c r="I201"/>
  <c r="J201" s="1"/>
  <c r="I200"/>
  <c r="J200" s="1"/>
  <c r="J198"/>
  <c r="J197"/>
  <c r="J196"/>
  <c r="J195"/>
  <c r="I194"/>
  <c r="J194" s="1"/>
  <c r="I193"/>
  <c r="J193" s="1"/>
  <c r="J192"/>
  <c r="J191"/>
  <c r="J190"/>
  <c r="J189"/>
  <c r="J187"/>
  <c r="J186"/>
  <c r="J185"/>
  <c r="J184"/>
  <c r="J183"/>
  <c r="J182"/>
  <c r="J181"/>
  <c r="I180"/>
  <c r="J180" s="1"/>
  <c r="I179"/>
  <c r="J179" s="1"/>
  <c r="J177"/>
  <c r="J176"/>
  <c r="J175"/>
  <c r="I174"/>
  <c r="J174" s="1"/>
  <c r="I173"/>
  <c r="J173" s="1"/>
  <c r="J172"/>
  <c r="J171"/>
  <c r="J170"/>
  <c r="J169"/>
  <c r="J167"/>
  <c r="J166"/>
  <c r="J165"/>
  <c r="J164"/>
  <c r="J163"/>
  <c r="J162"/>
  <c r="J161"/>
  <c r="I160"/>
  <c r="J160" s="1"/>
  <c r="I159"/>
  <c r="J159" s="1"/>
  <c r="J157"/>
  <c r="J156"/>
  <c r="J155"/>
  <c r="I154"/>
  <c r="J154" s="1"/>
  <c r="I153"/>
  <c r="J153" s="1"/>
  <c r="J152"/>
  <c r="J151"/>
  <c r="J150"/>
  <c r="J149"/>
  <c r="J147"/>
  <c r="J146"/>
  <c r="J145"/>
  <c r="J144"/>
  <c r="J143"/>
  <c r="J142"/>
  <c r="J141"/>
  <c r="I140"/>
  <c r="J140" s="1"/>
  <c r="I139"/>
  <c r="J139" s="1"/>
  <c r="J137"/>
  <c r="J136"/>
  <c r="J135"/>
  <c r="I134"/>
  <c r="J134" s="1"/>
  <c r="I133"/>
  <c r="J133" s="1"/>
  <c r="J132"/>
  <c r="J131"/>
  <c r="J130"/>
  <c r="J129"/>
  <c r="J127"/>
  <c r="J126"/>
  <c r="J125"/>
  <c r="J124"/>
  <c r="J123"/>
  <c r="J122"/>
  <c r="J117"/>
  <c r="H116"/>
  <c r="J116" s="1"/>
  <c r="J115"/>
  <c r="H114"/>
  <c r="J114" s="1"/>
  <c r="I113"/>
  <c r="J113" s="1"/>
  <c r="H112"/>
  <c r="J112" s="1"/>
  <c r="J111"/>
  <c r="J110"/>
  <c r="I102"/>
  <c r="J102" s="1"/>
  <c r="I101"/>
  <c r="J101" s="1"/>
  <c r="J100"/>
  <c r="J99"/>
  <c r="J98"/>
  <c r="J97"/>
  <c r="J96"/>
  <c r="J95"/>
  <c r="J94"/>
  <c r="G89"/>
  <c r="F87"/>
  <c r="G87" s="1"/>
  <c r="G86"/>
  <c r="G84"/>
  <c r="G83"/>
  <c r="H75"/>
  <c r="H74"/>
  <c r="H77"/>
  <c r="H76"/>
  <c r="H73"/>
  <c r="H72"/>
  <c r="H71"/>
  <c r="G63"/>
  <c r="G65"/>
  <c r="G64"/>
  <c r="G57"/>
  <c r="I57" s="1"/>
  <c r="D56"/>
  <c r="G56" s="1"/>
  <c r="I56" s="1"/>
  <c r="F55"/>
  <c r="D55"/>
  <c r="F54"/>
  <c r="D54"/>
  <c r="F53"/>
  <c r="G53" s="1"/>
  <c r="I53" s="1"/>
  <c r="H52"/>
  <c r="G52"/>
  <c r="H51"/>
  <c r="G51"/>
  <c r="H50"/>
  <c r="G50"/>
  <c r="H49"/>
  <c r="G49"/>
  <c r="H48"/>
  <c r="D48"/>
  <c r="G48" s="1"/>
  <c r="H47"/>
  <c r="G47"/>
  <c r="H46"/>
  <c r="G46"/>
  <c r="H45"/>
  <c r="G45"/>
  <c r="D43"/>
  <c r="G43" s="1"/>
  <c r="I43" s="1"/>
  <c r="H42"/>
  <c r="G42"/>
  <c r="H41"/>
  <c r="F41"/>
  <c r="D41"/>
  <c r="H40"/>
  <c r="F40"/>
  <c r="D40"/>
  <c r="F39"/>
  <c r="D39"/>
  <c r="H38"/>
  <c r="F38"/>
  <c r="G38" s="1"/>
  <c r="H37"/>
  <c r="F37"/>
  <c r="D37"/>
  <c r="H36"/>
  <c r="F36"/>
  <c r="G36" s="1"/>
  <c r="D36"/>
  <c r="H35"/>
  <c r="F35"/>
  <c r="G35" s="1"/>
  <c r="G32"/>
  <c r="I32" s="1"/>
  <c r="G31"/>
  <c r="I31" s="1"/>
  <c r="H30"/>
  <c r="D30"/>
  <c r="G30" s="1"/>
  <c r="D29"/>
  <c r="G29" s="1"/>
  <c r="I29" s="1"/>
  <c r="D28"/>
  <c r="G28" s="1"/>
  <c r="I28" s="1"/>
  <c r="D27"/>
  <c r="G27" s="1"/>
  <c r="I27" s="1"/>
  <c r="H26"/>
  <c r="D26"/>
  <c r="G26" s="1"/>
  <c r="D24"/>
  <c r="G24" s="1"/>
  <c r="I24" s="1"/>
  <c r="D23"/>
  <c r="G23" s="1"/>
  <c r="I23" s="1"/>
  <c r="D22"/>
  <c r="G22" s="1"/>
  <c r="I22" s="1"/>
  <c r="D21"/>
  <c r="G21" s="1"/>
  <c r="I21" s="1"/>
  <c r="F19"/>
  <c r="D19"/>
  <c r="D18"/>
  <c r="G18" s="1"/>
  <c r="I18" s="1"/>
  <c r="D17"/>
  <c r="G17" s="1"/>
  <c r="I17" s="1"/>
  <c r="F16"/>
  <c r="D16"/>
  <c r="F15"/>
  <c r="D15"/>
  <c r="D14"/>
  <c r="G14" s="1"/>
  <c r="I14" s="1"/>
  <c r="F8"/>
  <c r="E7"/>
  <c r="F7" s="1"/>
  <c r="F6"/>
  <c r="G5"/>
  <c r="D5" s="1"/>
  <c r="F5" s="1"/>
  <c r="I38" l="1"/>
  <c r="I42"/>
  <c r="G39"/>
  <c r="I39" s="1"/>
  <c r="G15"/>
  <c r="I15" s="1"/>
  <c r="I30"/>
  <c r="I35"/>
  <c r="I46"/>
  <c r="I50"/>
  <c r="I52"/>
  <c r="G16"/>
  <c r="I16" s="1"/>
  <c r="I26"/>
  <c r="I49"/>
  <c r="H21" i="2"/>
  <c r="H10"/>
  <c r="G37" i="1"/>
  <c r="I37" s="1"/>
  <c r="I45"/>
  <c r="I47"/>
  <c r="I51"/>
  <c r="G41"/>
  <c r="I41" s="1"/>
  <c r="I36"/>
  <c r="I48"/>
  <c r="G55"/>
  <c r="I55" s="1"/>
  <c r="G90"/>
  <c r="G40"/>
  <c r="I40" s="1"/>
  <c r="G19"/>
  <c r="I19" s="1"/>
  <c r="I58" s="1"/>
  <c r="G54"/>
  <c r="I54" s="1"/>
  <c r="J118"/>
  <c r="G66"/>
  <c r="J220"/>
  <c r="H78"/>
  <c r="F9"/>
  <c r="L119" l="1"/>
  <c r="J257" i="13"/>
  <c r="J259"/>
  <c r="G22" i="14" l="1"/>
  <c r="G23" s="1"/>
  <c r="G14"/>
  <c r="J229" i="13"/>
  <c r="J226"/>
  <c r="J223"/>
  <c r="J222"/>
  <c r="H216"/>
  <c r="H215"/>
  <c r="G274" i="14"/>
  <c r="G270"/>
  <c r="G269"/>
  <c r="G153"/>
  <c r="G154" s="1"/>
  <c r="G129"/>
  <c r="G130" s="1"/>
  <c r="G122"/>
  <c r="G115"/>
  <c r="G116" s="1"/>
  <c r="G143"/>
  <c r="G144" s="1"/>
  <c r="G136"/>
  <c r="G137" s="1"/>
  <c r="G15" l="1"/>
  <c r="G16" s="1"/>
  <c r="G24"/>
  <c r="G145"/>
  <c r="G146" s="1"/>
  <c r="G147" s="1"/>
  <c r="G275"/>
  <c r="G276" s="1"/>
  <c r="G277" s="1"/>
  <c r="G155"/>
  <c r="G117"/>
  <c r="G118" s="1"/>
  <c r="G119" s="1"/>
  <c r="G123"/>
  <c r="G124" s="1"/>
  <c r="G131"/>
  <c r="G138"/>
  <c r="G120" l="1"/>
  <c r="G121" s="1"/>
  <c r="G278"/>
  <c r="G279" s="1"/>
  <c r="I243" i="13" s="1"/>
  <c r="J243" s="1"/>
  <c r="G17" i="14"/>
  <c r="G18" s="1"/>
  <c r="G25"/>
  <c r="G26" s="1"/>
  <c r="G148"/>
  <c r="G149" s="1"/>
  <c r="I208" i="13" s="1"/>
  <c r="G156" i="14"/>
  <c r="G157" s="1"/>
  <c r="G125"/>
  <c r="G126" s="1"/>
  <c r="G132"/>
  <c r="G133" s="1"/>
  <c r="G139"/>
  <c r="G140" s="1"/>
  <c r="I203" i="13" l="1"/>
  <c r="I201"/>
  <c r="I210"/>
  <c r="J210" s="1"/>
  <c r="I205"/>
  <c r="G19" i="14"/>
  <c r="G20" s="1"/>
  <c r="I189" i="13" s="1"/>
  <c r="G27" i="14"/>
  <c r="G28" s="1"/>
  <c r="I190" i="13" s="1"/>
  <c r="J190" s="1"/>
  <c r="G158" i="14"/>
  <c r="G159" s="1"/>
  <c r="G134"/>
  <c r="G135" s="1"/>
  <c r="I213" i="13" s="1"/>
  <c r="J213" s="1"/>
  <c r="G141" i="14"/>
  <c r="G142" s="1"/>
  <c r="I207" i="13" s="1"/>
  <c r="G127" i="14"/>
  <c r="G128" s="1"/>
  <c r="I216" i="13" l="1"/>
  <c r="I215"/>
  <c r="J215" s="1"/>
  <c r="I212"/>
  <c r="J212" s="1"/>
  <c r="I206"/>
  <c r="I204"/>
  <c r="I202"/>
  <c r="I211"/>
  <c r="J211" s="1"/>
  <c r="J114" l="1"/>
  <c r="H113"/>
  <c r="H112"/>
  <c r="J112" s="1"/>
  <c r="J87"/>
  <c r="J89"/>
  <c r="K89" s="1"/>
  <c r="H88"/>
  <c r="J88" s="1"/>
  <c r="L20" l="1"/>
  <c r="J15"/>
  <c r="K15" s="1"/>
  <c r="H9"/>
  <c r="H18" i="11" l="1"/>
  <c r="D16"/>
  <c r="J219" i="13"/>
  <c r="I281"/>
  <c r="O8" l="1"/>
  <c r="O9" s="1"/>
  <c r="O206"/>
  <c r="O205"/>
  <c r="J304" l="1"/>
  <c r="J303"/>
  <c r="J300"/>
  <c r="J299"/>
  <c r="J295"/>
  <c r="J294"/>
  <c r="J293"/>
  <c r="J292"/>
  <c r="J291"/>
  <c r="J290"/>
  <c r="J289"/>
  <c r="J288"/>
  <c r="J287"/>
  <c r="J286"/>
  <c r="J285"/>
  <c r="J284"/>
  <c r="J283"/>
  <c r="J282"/>
  <c r="J281"/>
  <c r="J276"/>
  <c r="J275"/>
  <c r="J270"/>
  <c r="J268"/>
  <c r="J267"/>
  <c r="J263"/>
  <c r="J252"/>
  <c r="J251"/>
  <c r="J249"/>
  <c r="J248"/>
  <c r="J246"/>
  <c r="J237"/>
  <c r="J235"/>
  <c r="J234"/>
  <c r="J230"/>
  <c r="J228"/>
  <c r="J225"/>
  <c r="J218"/>
  <c r="J202"/>
  <c r="J201"/>
  <c r="J206"/>
  <c r="J205"/>
  <c r="J204"/>
  <c r="J203"/>
  <c r="J208"/>
  <c r="J207"/>
  <c r="J197"/>
  <c r="J193"/>
  <c r="J189"/>
  <c r="J181"/>
  <c r="F181"/>
  <c r="L181" s="1"/>
  <c r="L180"/>
  <c r="J180"/>
  <c r="F180"/>
  <c r="L179"/>
  <c r="J179"/>
  <c r="F179"/>
  <c r="J178"/>
  <c r="K178" s="1"/>
  <c r="J177"/>
  <c r="F177"/>
  <c r="L176"/>
  <c r="J176"/>
  <c r="F176"/>
  <c r="L171"/>
  <c r="J171"/>
  <c r="F171"/>
  <c r="J170"/>
  <c r="F170"/>
  <c r="L169"/>
  <c r="J169"/>
  <c r="F169"/>
  <c r="J167"/>
  <c r="F167"/>
  <c r="L166"/>
  <c r="J166"/>
  <c r="F166"/>
  <c r="L164"/>
  <c r="J164"/>
  <c r="F164"/>
  <c r="J162"/>
  <c r="K162" s="1"/>
  <c r="J161"/>
  <c r="F161"/>
  <c r="J159"/>
  <c r="K159" s="1"/>
  <c r="J158"/>
  <c r="F158"/>
  <c r="L157"/>
  <c r="J157"/>
  <c r="F157"/>
  <c r="L155"/>
  <c r="J155"/>
  <c r="F155"/>
  <c r="L154"/>
  <c r="J154"/>
  <c r="F154"/>
  <c r="L152"/>
  <c r="J152"/>
  <c r="F152"/>
  <c r="L151"/>
  <c r="J151"/>
  <c r="F151"/>
  <c r="J148"/>
  <c r="K148" s="1"/>
  <c r="J147"/>
  <c r="F147"/>
  <c r="J146"/>
  <c r="F146"/>
  <c r="L145"/>
  <c r="J145"/>
  <c r="F145"/>
  <c r="J143"/>
  <c r="F143"/>
  <c r="J142"/>
  <c r="F142"/>
  <c r="J141"/>
  <c r="K141" s="1"/>
  <c r="J140"/>
  <c r="F140"/>
  <c r="J139"/>
  <c r="F139"/>
  <c r="J138"/>
  <c r="F138"/>
  <c r="L137"/>
  <c r="J137"/>
  <c r="F137"/>
  <c r="L136"/>
  <c r="J136"/>
  <c r="F136"/>
  <c r="J133"/>
  <c r="F133"/>
  <c r="J132"/>
  <c r="F132"/>
  <c r="J131"/>
  <c r="F131"/>
  <c r="J130"/>
  <c r="F130"/>
  <c r="J129"/>
  <c r="F129"/>
  <c r="L129" s="1"/>
  <c r="J128"/>
  <c r="F128"/>
  <c r="J126"/>
  <c r="F126"/>
  <c r="L126" s="1"/>
  <c r="J125"/>
  <c r="F125"/>
  <c r="J123"/>
  <c r="F123"/>
  <c r="L123" s="1"/>
  <c r="J122"/>
  <c r="F122"/>
  <c r="J120"/>
  <c r="F120"/>
  <c r="L120" s="1"/>
  <c r="J119"/>
  <c r="F119"/>
  <c r="H117"/>
  <c r="J117" s="1"/>
  <c r="K117" s="1"/>
  <c r="J116"/>
  <c r="F116"/>
  <c r="J113"/>
  <c r="F113"/>
  <c r="K112"/>
  <c r="J111"/>
  <c r="F111"/>
  <c r="L110"/>
  <c r="J110"/>
  <c r="F110"/>
  <c r="J109"/>
  <c r="K109" s="1"/>
  <c r="J108"/>
  <c r="F108"/>
  <c r="L106"/>
  <c r="J106"/>
  <c r="F106"/>
  <c r="J104"/>
  <c r="K104" s="1"/>
  <c r="J103"/>
  <c r="F103"/>
  <c r="L102"/>
  <c r="J102"/>
  <c r="F102"/>
  <c r="J101"/>
  <c r="K101" s="1"/>
  <c r="J100"/>
  <c r="F100"/>
  <c r="I99"/>
  <c r="F99"/>
  <c r="L99" s="1"/>
  <c r="J98"/>
  <c r="K98" s="1"/>
  <c r="J97"/>
  <c r="F97"/>
  <c r="L95"/>
  <c r="J95"/>
  <c r="F95"/>
  <c r="K94"/>
  <c r="J94"/>
  <c r="J93"/>
  <c r="F93"/>
  <c r="J90"/>
  <c r="F90"/>
  <c r="J86"/>
  <c r="F86"/>
  <c r="J85"/>
  <c r="F85"/>
  <c r="L85" s="1"/>
  <c r="J84"/>
  <c r="K84" s="1"/>
  <c r="J83"/>
  <c r="F83"/>
  <c r="J81"/>
  <c r="F81"/>
  <c r="J80"/>
  <c r="K80" s="1"/>
  <c r="J79"/>
  <c r="F79"/>
  <c r="L77"/>
  <c r="J77"/>
  <c r="F77"/>
  <c r="J76"/>
  <c r="K76" s="1"/>
  <c r="J75"/>
  <c r="F75"/>
  <c r="L73"/>
  <c r="J73"/>
  <c r="F73"/>
  <c r="J72"/>
  <c r="K72" s="1"/>
  <c r="J71"/>
  <c r="F71"/>
  <c r="H69"/>
  <c r="J69" s="1"/>
  <c r="K69" s="1"/>
  <c r="J68"/>
  <c r="F68"/>
  <c r="J67"/>
  <c r="F67"/>
  <c r="J66"/>
  <c r="F66"/>
  <c r="J65"/>
  <c r="F65"/>
  <c r="J64"/>
  <c r="K64" s="1"/>
  <c r="J63"/>
  <c r="F63"/>
  <c r="J62"/>
  <c r="K62" s="1"/>
  <c r="J61"/>
  <c r="F61"/>
  <c r="J60"/>
  <c r="K60" s="1"/>
  <c r="J59"/>
  <c r="F59"/>
  <c r="J58"/>
  <c r="K58" s="1"/>
  <c r="J57"/>
  <c r="F57"/>
  <c r="L55"/>
  <c r="J55"/>
  <c r="F55"/>
  <c r="J54"/>
  <c r="K54" s="1"/>
  <c r="J53"/>
  <c r="F53"/>
  <c r="L50"/>
  <c r="J50"/>
  <c r="F50"/>
  <c r="L49"/>
  <c r="J49"/>
  <c r="F49"/>
  <c r="L48"/>
  <c r="J48"/>
  <c r="F48"/>
  <c r="J47"/>
  <c r="K47" s="1"/>
  <c r="J46"/>
  <c r="F46"/>
  <c r="L45"/>
  <c r="J45"/>
  <c r="F45"/>
  <c r="L44"/>
  <c r="J44"/>
  <c r="F44"/>
  <c r="J43"/>
  <c r="K43" s="1"/>
  <c r="J42"/>
  <c r="F42"/>
  <c r="J41"/>
  <c r="F41"/>
  <c r="L41" s="1"/>
  <c r="L40"/>
  <c r="J40"/>
  <c r="F40"/>
  <c r="J39"/>
  <c r="F39"/>
  <c r="L39" s="1"/>
  <c r="H38"/>
  <c r="J38" s="1"/>
  <c r="K38" s="1"/>
  <c r="J37"/>
  <c r="F37"/>
  <c r="H36"/>
  <c r="J36" s="1"/>
  <c r="K36" s="1"/>
  <c r="J35"/>
  <c r="F35"/>
  <c r="H34"/>
  <c r="J34" s="1"/>
  <c r="K34" s="1"/>
  <c r="J33"/>
  <c r="F33"/>
  <c r="J32"/>
  <c r="F32"/>
  <c r="L32" s="1"/>
  <c r="J30"/>
  <c r="K30" s="1"/>
  <c r="J29"/>
  <c r="F29"/>
  <c r="J28"/>
  <c r="K28" s="1"/>
  <c r="J27"/>
  <c r="F27"/>
  <c r="J26"/>
  <c r="K26" s="1"/>
  <c r="J25"/>
  <c r="F25"/>
  <c r="J24"/>
  <c r="K24" s="1"/>
  <c r="J23"/>
  <c r="F23"/>
  <c r="J22"/>
  <c r="K22" s="1"/>
  <c r="J21"/>
  <c r="F21"/>
  <c r="J20"/>
  <c r="F20"/>
  <c r="L17"/>
  <c r="J17"/>
  <c r="F17"/>
  <c r="L16"/>
  <c r="J16"/>
  <c r="F16"/>
  <c r="J14"/>
  <c r="F14"/>
  <c r="J13"/>
  <c r="F13"/>
  <c r="I12"/>
  <c r="J12" s="1"/>
  <c r="K12" s="1"/>
  <c r="I11"/>
  <c r="J11" s="1"/>
  <c r="F11"/>
  <c r="J9"/>
  <c r="K9" s="1"/>
  <c r="J8"/>
  <c r="F8"/>
  <c r="J7"/>
  <c r="K7" s="1"/>
  <c r="J6"/>
  <c r="F6"/>
  <c r="L167" l="1"/>
  <c r="K182"/>
  <c r="F182"/>
  <c r="L113"/>
  <c r="J182"/>
  <c r="J183" s="1"/>
  <c r="J184" s="1"/>
  <c r="L182" l="1"/>
  <c r="C14" i="11" l="1"/>
  <c r="E19"/>
  <c r="F17"/>
  <c r="F21"/>
  <c r="F13"/>
  <c r="F12"/>
  <c r="C15"/>
  <c r="F14" l="1"/>
  <c r="D14"/>
  <c r="C22"/>
  <c r="C24" s="1"/>
  <c r="L61" i="2" l="1"/>
  <c r="E16" i="11" l="1"/>
  <c r="I102" i="4" l="1"/>
  <c r="I101"/>
  <c r="I98"/>
  <c r="I97"/>
  <c r="H277" i="13"/>
  <c r="J277" s="1"/>
  <c r="I36" i="4"/>
  <c r="I37" s="1"/>
  <c r="H265" i="13" s="1"/>
  <c r="J265" s="1"/>
  <c r="I99" i="4" l="1"/>
  <c r="I103"/>
  <c r="I66"/>
  <c r="I74"/>
  <c r="I7"/>
  <c r="I8" s="1"/>
  <c r="M99" l="1"/>
  <c r="H274" i="13"/>
  <c r="J274" s="1"/>
  <c r="I75" i="4"/>
  <c r="I12"/>
  <c r="N61" i="2"/>
  <c r="H262" i="13" l="1"/>
  <c r="J262" s="1"/>
  <c r="H271"/>
  <c r="J271" s="1"/>
  <c r="I9" i="4"/>
  <c r="H261" i="13" l="1"/>
  <c r="J261" s="1"/>
  <c r="J216" l="1"/>
  <c r="M61" i="2"/>
  <c r="M66" s="1"/>
  <c r="K61"/>
  <c r="N46" i="1"/>
  <c r="J305" i="13" l="1"/>
  <c r="C306" l="1"/>
  <c r="C307" l="1"/>
  <c r="C309" s="1"/>
  <c r="D9" i="11"/>
  <c r="E9" l="1"/>
  <c r="D15"/>
  <c r="F15" s="1"/>
  <c r="F22" s="1"/>
  <c r="D20"/>
  <c r="E20" s="1"/>
  <c r="D18"/>
  <c r="E18" s="1"/>
  <c r="E22" l="1"/>
  <c r="D22"/>
  <c r="C25" s="1"/>
  <c r="C26" s="1"/>
  <c r="C27" s="1"/>
</calcChain>
</file>

<file path=xl/sharedStrings.xml><?xml version="1.0" encoding="utf-8"?>
<sst xmlns="http://schemas.openxmlformats.org/spreadsheetml/2006/main" count="3064" uniqueCount="1039">
  <si>
    <t>S.no</t>
  </si>
  <si>
    <t>Description</t>
  </si>
  <si>
    <t>No</t>
  </si>
  <si>
    <t>L</t>
  </si>
  <si>
    <t>B</t>
  </si>
  <si>
    <t>D</t>
  </si>
  <si>
    <t>Quantity</t>
  </si>
  <si>
    <t>Unit</t>
  </si>
  <si>
    <t>Providing water supply fecilities to Electronic Hardware Manufactering Cluster At Maheshwaram (V&amp;M) R R Dist</t>
  </si>
  <si>
    <t>1X1</t>
  </si>
  <si>
    <t>1x4</t>
  </si>
  <si>
    <t>1X4</t>
  </si>
  <si>
    <t>cum</t>
  </si>
  <si>
    <t>1x1</t>
  </si>
  <si>
    <t>A</t>
  </si>
  <si>
    <t>1X2</t>
  </si>
  <si>
    <t>Cum</t>
  </si>
  <si>
    <t>1x12</t>
  </si>
  <si>
    <t>sqm</t>
  </si>
  <si>
    <t>1x2</t>
  </si>
  <si>
    <t>1x10</t>
  </si>
  <si>
    <t>MT</t>
  </si>
  <si>
    <t>1MT</t>
  </si>
  <si>
    <t>1No</t>
  </si>
  <si>
    <t>2x2</t>
  </si>
  <si>
    <t>1job</t>
  </si>
  <si>
    <t>Supplimentary</t>
  </si>
  <si>
    <t>Centrifugally cast (spun) Ductile Iron pressure pies with flanged (welded) ends for water,gas,sewage conforming to IS: 8329/2000 in standard working lengths of 1,2,3,4,5 mts for classification K9 with cement mortar lining inside the pipes with outside zone coating Rates are ex-factory,excluding transportation &amp; taxes</t>
  </si>
  <si>
    <t>Nos</t>
  </si>
  <si>
    <t>1x3</t>
  </si>
  <si>
    <t>Centrifugally cast (span) Ductile Iron Fittings conforming to IS:9523/2000 having dimensions as per table. The rates mentioned here under are for fitting,zinc coated externally with inside mortor lining (with finishing as per class 13/IS 9523/2000) (ex-works) Excluding Tranportation and Taxes</t>
  </si>
  <si>
    <t>a)Duct-foot Bend</t>
  </si>
  <si>
    <t>@</t>
  </si>
  <si>
    <t>Kgs</t>
  </si>
  <si>
    <t>250mm</t>
  </si>
  <si>
    <t>70kg/1No</t>
  </si>
  <si>
    <t>c)Bell-mouth</t>
  </si>
  <si>
    <t>QTY</t>
  </si>
  <si>
    <t>Construction of sump 500KL</t>
  </si>
  <si>
    <t>2x4</t>
  </si>
  <si>
    <t>1Rmt</t>
  </si>
  <si>
    <t>Rmt</t>
  </si>
  <si>
    <t>PROVIDING DISTRIBUTION NETWORK SYSTEM</t>
  </si>
  <si>
    <t>1x14</t>
  </si>
  <si>
    <t>Excess</t>
  </si>
  <si>
    <t>Less</t>
  </si>
  <si>
    <t>a)columns</t>
  </si>
  <si>
    <t>b)For Basement</t>
  </si>
  <si>
    <t>c)For septic tank</t>
  </si>
  <si>
    <t>1Cum</t>
  </si>
  <si>
    <t>Earthwork Excavation in Hard Rock</t>
  </si>
  <si>
    <t>Qty As per Item No 1 Deduct Volume</t>
  </si>
  <si>
    <t>PCC (1:4:8)</t>
  </si>
  <si>
    <t>SW</t>
  </si>
  <si>
    <t>1x18</t>
  </si>
  <si>
    <t>Centring and Scaffolding charges for RCC members including all materials and Labour charges for forming and removing etc., complete as directed by Engineer-in-Charge for finished item of work. Except GST</t>
  </si>
  <si>
    <t>Sqm</t>
  </si>
  <si>
    <t>Brick Masonary in CM (1:6) With 2nd class Clay Bricks  traditional size 23x11x11cms including cost and conveyance of all material labour charges and incidental operational charges etc complete</t>
  </si>
  <si>
    <t>A)LW</t>
  </si>
  <si>
    <t>B)SW</t>
  </si>
  <si>
    <t>C)Parapit wall</t>
  </si>
  <si>
    <t>F)Septic tank walls</t>
  </si>
  <si>
    <t>Deductions</t>
  </si>
  <si>
    <t>A)Doors</t>
  </si>
  <si>
    <t>A)Doors D1</t>
  </si>
  <si>
    <t>B)Doors D2</t>
  </si>
  <si>
    <t>d)Ventiletors</t>
  </si>
  <si>
    <t>e)Lintals over Doors D1</t>
  </si>
  <si>
    <t>f)Lintals over Doors D2</t>
  </si>
  <si>
    <t>a)Doors D1</t>
  </si>
  <si>
    <t>b)Doors D2</t>
  </si>
  <si>
    <t>c)Windows</t>
  </si>
  <si>
    <t>Net Qty</t>
  </si>
  <si>
    <t xml:space="preserve">Inside </t>
  </si>
  <si>
    <t>Room sides</t>
  </si>
  <si>
    <t>Outside</t>
  </si>
  <si>
    <t>LW</t>
  </si>
  <si>
    <t>Parapit wall</t>
  </si>
  <si>
    <t>Septic Tank</t>
  </si>
  <si>
    <t>B)Windows</t>
  </si>
  <si>
    <t>C)Ventilaters</t>
  </si>
  <si>
    <t>Providing imperious / weather proof coarse over RCC roof slabs with CM (1:3) with an average thickness of 20mm thick premixed with water proofing compound like ACCO proof or any other ISI make at one KG per bag  of cement as prescribed by the manufacturer and laid over the proof slab to required slopes as directed by the engineer in charge when slab is in green including cost and conveyance of all material to site all labour charges and for all operation maintaining necessary slope finishing smooth and lining curing etc complete</t>
  </si>
  <si>
    <t>1Sqm</t>
  </si>
  <si>
    <t>BLD-CSTN-13-16 - Supply and fixing Teak Wood framed FLUSH Doors single shutter door with flush shutter as per approved drawings with best quality 2nd class teakwood frame od size 115x65mm and flush door shutters of 30 mm thick solid bond wood block board typer with teak veneer on one face and commercial ply on another face (One side Teak) teak wood internal lipping as per drawing including fixing of 6 Nos. MS Z hold fasts of size 300 x 40 x 5mm size including cost of Powder Coated/ Chromium Plated Mild Steel fixtures of 3 Nos. butt hinges 150 x 31.75 x 3.5 mm, 2 No tower bolt of 250x12mm dia, 1 No.CP Aldrops - 300 mm long and 2 Nos. CP handles of 150 mm size &amp; 1 No. 63 mm long door stopper including fixing the fixtures to door with required no. of brass screws, bolts and nuts including labour charges for fixing the frame in position, fixing the shutter to the frame etc., complete for finished item of work as per APSS 1001 &amp; 1002 (0.90x2.15)</t>
  </si>
  <si>
    <t xml:space="preserve">Supplying and fixing of Unplasticised Poly Vinyl Chloride (UPVC) sliding windows two track sliding duly manufactured using UPVC reinforced profiles of (62 mm x 60 mm)/(60 mm x 45 mm) / (60 mm x 52 mm) x 2.0 mm for outer frames, (66 mm x 38 mm) / (58 mm) x 39 mm)/ (60 mm x 42 mm) x 2.0 mm for sliding shutter frames capable of mounting single glazing system, structurally reinforced with hot dip galvanized  up to 50 micros of minimum thickness of 1.2 mm prefabricated &amp; welded through fusion welding the window sash shall be fitted with 5 mm thick clear float glass of reputed make duly fixed with TPV Gaskets/EPDM weathering seal resistant accessories like locking system 1 No., per set of sashes and the system is to be installed at the site using anchor fasteners, silicon rubber sealent, easy glazing/ deglazing at site etc., including cost and conveyance of all materials, accessories, labour charges for transportation, erection at site with templates for casement sizing complete for finished item of work. </t>
  </si>
  <si>
    <t>A)Windows</t>
  </si>
  <si>
    <t>Ceramic wall tiles supply of glazed red or white fully body ceramic wall tilws of size 200 x 300 mm  /245 mm x 325 mm and thickness  6mm 1st quality, set over CSTN-9- over a base coat of cement mortar (1:8) prop., 12 mm thick and filling the joints with 3mm Nylon spacers at each corner of the tile and joints grooted with laticrete epoxy grout of pigment of approved shade of tiles over a wall. or R.C.C. slab, including cost and conveyance of all materials like cement, sand, water, tiles, white cement etc., to site (excluding cost of C.C. bed) cost of excluding seigniorage on all materials cost of base coat and all labour charges for mixing of cement mortar, laying tiles to required slope as directed by the Ebgineer-in-charge curing etc., complete for finished item of work, IS 13711, IS:13712 IS 13713</t>
  </si>
  <si>
    <t>a)Both Room</t>
  </si>
  <si>
    <t>b)WC</t>
  </si>
  <si>
    <t>SANITARY ITEMS</t>
  </si>
  <si>
    <t>Supplying laying jointing and testing 101.6mm SWG SP-1 pipes of ISI Make confirming to ISI 651 &amp; 4127 with airtight cement joints in CM 1:5:1 prop. Including excavation of trenches and socket pits in any soil(except rock requiring blasting) upto 914.4 mm(3"0') depth and refilling with watering and tamping</t>
  </si>
  <si>
    <t>Supplying and fixing 150 mm x 100 mm SWG gully traps confirming to ISI 651 &amp; 4127 with C.I. grating &amp; Cost brick masonry in CM 1:6 prop.. Intermediate chamber and fitted with 304.8mm x 288.6mm (12"x9") C.I. Frme and hinged cover.</t>
  </si>
  <si>
    <t>Constructing 904.0mm (3"0') dia solid brick masonry inspection chamber as per IS - 4111: Part-1: 1986 with cement mortar (1:6) prop. Using 2nd class clay bricks of 225mm thick from approved source having a minimum crushing strength of 5 N/ Sq.mm including plastering with cement mortar 1:3 prop; 1/2" thick both inside and outside fitted with 20" dia RCC Manhole covers and frames including excavating pits upto a depth of 904mm (3'-0") in all sorts of soils ( excluding rock) and laying cement concrete (1:4:8) 150mm thick using 40mm HBG Metal and PCC 1:2:4 benching and channel 100 mm thick as per standard  specification and including cosrt and conveyance of all materials like cement,sand , bricks, water etc.m, to site, cost of seigniorage charges on all materials and all incidentall and operational, labour charges like mixing cement mortar , constructing masonry, lift charges curing, etc., complete for finished item of work as per standard specification.</t>
  </si>
  <si>
    <t>Supply and fixing of approved make Orissa pan white glaze W.C. ist quality ISI Marked confirming to IS:2556 -Part-3-2004 with "P" or "S" Trap : 580mm x 440mm duly provading construction brick masonry and CC squatting plate including cost and conyence of all materials and labour charges etc complete as per standard practice for finished item.</t>
  </si>
  <si>
    <t>Supplying and fixing low down porcelain flushing tank with lid 10Lit capacity with internal components</t>
  </si>
  <si>
    <t>Supplying and fixing Indian make Flat Back Wash Hand Basin 1st quality confirming to IS: 2556-Part-4:1972 with waste fittings like rubber plug , chain, 32mm nominal size C.P. Fitting with parallel pipe thread confirming to IS: 2963-1979 and fitted with 15mm nominal bore Chromium Plated Pillar Tap og 1st quality Indian make 400 grams complete with standard CI Brackets including wooden block : 630x 450mm - Single C.P. Pillar cock</t>
  </si>
  <si>
    <t>Supply and fixing of 90mm dia single socket PVC/SWR Pipe- 4kg/sqm including cost and conveyance of all material labour charges etc.,</t>
  </si>
  <si>
    <t>Supply of rubber lubricant 500 grams UPVC/SWR Pipe fittings</t>
  </si>
  <si>
    <t>S&amp;F 20 mm Nominal Bore GI Pipe Medium grade properties  &amp; weight as per IS 1239 ISI Markwith GI Fittings including the cost of pipe and its fittings &amp; labour charges complete</t>
  </si>
  <si>
    <t>S&amp;F 25 mm Nominal Bore GI Pipe Medium grade properties  &amp; weight as per IS 1239 ISI Markwith GI Fittings including the cost of pipe and its fittings &amp; labour charges complete</t>
  </si>
  <si>
    <t>S&amp;F of 15mm brass body CP finish bib tap of not less than 300 grams weight with quarter turn spindle with either internal or external threaded connection confirming to IS 8931</t>
  </si>
  <si>
    <t>S&amp;F of 15mm brass body CP finish pillar tap of not less than 300 grams weight screw type(full turn) confirming to IS 8931</t>
  </si>
  <si>
    <t>S&amp;F of 15mm brass angle stop valve of qurter turn spindle type of not less than 400 grams weight with internal threaded connection confirming to IS 8931</t>
  </si>
  <si>
    <t xml:space="preserve"> Supplying and fixing of 15mm nom,inal size PVC Connection with brass union nut C.P. Coated</t>
  </si>
  <si>
    <t>Providing &amp; Placing on terrace ( at all floor levels) polyethylene water storage tank with Double layer approved brand &amp; manufacture with cover and suitable locking arrangement &amp; making necessary holes for inlet &amp; outlets and overflow pipes but without fittings &amp; base support for tanks</t>
  </si>
  <si>
    <t>Litres</t>
  </si>
  <si>
    <t>Add 13.615% overhead and contractor profit</t>
  </si>
  <si>
    <t>Rate per 1 Sqm</t>
  </si>
  <si>
    <t>Unit-1Rmt</t>
  </si>
  <si>
    <t>As per TBSP-A.I-02 Sl.No.2 Pg.No.121 CSSR 2015-16</t>
  </si>
  <si>
    <t>ADD 40% Lbour component</t>
  </si>
  <si>
    <t>Unit-1No.</t>
  </si>
  <si>
    <t>As per TBSP-A.I-09 Sl.No.9 Pg.No.122 CSSR 2015-16</t>
  </si>
  <si>
    <t>Rate per 1 No.</t>
  </si>
  <si>
    <t>As per TBSP-B.I-03 Sl.No.76 Pg.No.126 CSSR 2015-16</t>
  </si>
  <si>
    <t>As per TBSP-E.I-03 Sl.No.249 Pg.No.135 CSSR 2015-16</t>
  </si>
  <si>
    <t>Provding BrickMasonry seat for Orissa pan/Indian  W.C using traditional comman burnt clay bricks as per standard practice.</t>
  </si>
  <si>
    <t xml:space="preserve">As per TBSP-E.I-06 </t>
  </si>
  <si>
    <t>As per TBSP-E.IV-01 Sl.No.263 Pg.No.137 CSSR 2015-16</t>
  </si>
  <si>
    <t>As per TBSP-E.VI-02 Sl.No.269 Pg.No.137 CSSR 2015-16</t>
  </si>
  <si>
    <t>As per TBSP-H.I-02 Sl.No.461 Pg.No.148 CSSR 2015-16</t>
  </si>
  <si>
    <t>405.00/3</t>
  </si>
  <si>
    <t>Rate per 1 Rmt</t>
  </si>
  <si>
    <t>As per TBSP-H.II-14 Sl.No.517 Pg.No.150 CSSR 2015-16</t>
  </si>
  <si>
    <t>As per TBSP-H.III-03 Sl.No.602 Pg.No.153 CSSR 2015-16</t>
  </si>
  <si>
    <t>As per TBSP-G.I-08 Sl.No.400 Pg.No.145 CSSR 2015-16</t>
  </si>
  <si>
    <t>As per TBSP-G.I-09 Sl.No.401 Pg.No.146 CSSR 2015-16</t>
  </si>
  <si>
    <t>As per TBSP-F.I-02 Sl.No.301 Pg.No.140 CSSR 2015-16</t>
  </si>
  <si>
    <t>As per TBSP-F.II-01 Sl.No.308 Pg.No.141 CSSR 2015-16</t>
  </si>
  <si>
    <t>As per TBSP-F.IV-07 Sl.No.330 Pg.No.142 CSSR 2015-16</t>
  </si>
  <si>
    <t>Unit-1Ltr</t>
  </si>
  <si>
    <t>As per TBSP-H.II-01 Sl.No.504 Pg.No.150 CSSR 2015-16</t>
  </si>
  <si>
    <t>Liter</t>
  </si>
  <si>
    <t>KG</t>
  </si>
  <si>
    <t>1KG</t>
  </si>
  <si>
    <t>A)</t>
  </si>
  <si>
    <t>day</t>
  </si>
  <si>
    <t>B)</t>
  </si>
  <si>
    <t>C)</t>
  </si>
  <si>
    <t>Kg</t>
  </si>
  <si>
    <t>Painting to new walls with 2coat of Red mixed oil bound washable distemper approved brand and shade over a base coat of appropiated primer of approved brand making 3 coats in all to give even shade after thourughly brushing the surface to remove all duct and remains of loose poweredf material including cost and conveyance of all materials to work site and all operation incidental labour charges etc compiete for finished item of work complete as per SS911 For internal walls</t>
  </si>
  <si>
    <t>1Ltr</t>
  </si>
  <si>
    <t>Unit-1Sqm</t>
  </si>
  <si>
    <t>Unit-1.94 Sqm</t>
  </si>
  <si>
    <t xml:space="preserve">Material </t>
  </si>
  <si>
    <t>TBSC-D.I-02 Medium Teak Wood scantlings: 2.0 to 3.0 M</t>
  </si>
  <si>
    <t>TBSC-D.I-01 Medium Teak Wood scantlings: 2.0 M</t>
  </si>
  <si>
    <t>TBSC-L.II-10 Flush door shutters, solid bond wood block board type with teak venner on one face and commercial ply on another face (lipping) : 30 mm thick conforming</t>
  </si>
  <si>
    <t>Furniture Market Hold fasts (300*10*5mm)</t>
  </si>
  <si>
    <t>TBSC-P.II-12 MS-Powder Coated Butt hinges (IS:205)-150mm Long</t>
  </si>
  <si>
    <t>TBSC-P.IV.09 MS-Powder Coated Aldrop (IS:2681) - 300mm long</t>
  </si>
  <si>
    <t>TBSC-P.I-17 MS-Powder Coated Tower Bolt-10mm Bolt (IS:204) 250mm Long</t>
  </si>
  <si>
    <t>TBSC-P.III.06 MS-Powder Coated Door Handles (IS:208) 150 mm long</t>
  </si>
  <si>
    <t>BMT-G.53 MS-Powder Coated - Door Stoppers</t>
  </si>
  <si>
    <t>Market - Rubber bush</t>
  </si>
  <si>
    <t>Man powder CMM-046 - Carpenter CI-II / Erector shuttering</t>
  </si>
  <si>
    <t>CMM-087 Light mazdoor</t>
  </si>
  <si>
    <t>TBSC-T.1-25 Labour charges for fixing flush door shutters of any thickness to the existing door frame including fixing the fixturesto the door shutter excluding cost of shutter</t>
  </si>
  <si>
    <t>Rate for 1.94 Sqm</t>
  </si>
  <si>
    <t>Unit-10 Sqm</t>
  </si>
  <si>
    <t>Material</t>
  </si>
  <si>
    <t>As per TBSC-C.II-02 Sl.No. 43 Pg.No.20 CSSR 2015-16</t>
  </si>
  <si>
    <t>1 Sqm</t>
  </si>
  <si>
    <t>BLC - 001 Cement 43 Gr (including loading charges)</t>
  </si>
  <si>
    <t>1 Kg</t>
  </si>
  <si>
    <t>BLC-001 Cement Slurry</t>
  </si>
  <si>
    <t>BMS-W.68 White cement</t>
  </si>
  <si>
    <t>BLC-008 Cost of sand</t>
  </si>
  <si>
    <t>Man power CMM-001 Mason Cl-I / Brick layer CI-I</t>
  </si>
  <si>
    <t>CMM-077 Mason CI-II / Brick layer CI-II</t>
  </si>
  <si>
    <t xml:space="preserve">Area Allowance </t>
  </si>
  <si>
    <t>Add water charges 1%</t>
  </si>
  <si>
    <t>Rate per 10 Sqm</t>
  </si>
  <si>
    <t>As per TBSC-M.II-09 Sl.No. 529 Pg.No.84 CSSR 2018-19</t>
  </si>
  <si>
    <t xml:space="preserve">Rate for 1 Sqm </t>
  </si>
  <si>
    <t>Add 13.615% overhead contract profit</t>
  </si>
  <si>
    <t>Add 5% Conveyance charges on basic Rate</t>
  </si>
  <si>
    <t>D)</t>
  </si>
  <si>
    <t>E)</t>
  </si>
  <si>
    <t>F)</t>
  </si>
  <si>
    <t>G)</t>
  </si>
  <si>
    <t>Basic Rate</t>
  </si>
  <si>
    <t>Manfacturing supply delivery lowering laying jointing testing  of MS pipe using 8mm thick MS piate including cost and conveyanc of all material and cost oe epoxy painting  labour charges and all incidental operation charges complete</t>
  </si>
  <si>
    <t>Add 5% Buruing Losses</t>
  </si>
  <si>
    <t>KGS</t>
  </si>
  <si>
    <t>Add 13.615% overhead and contract profit</t>
  </si>
  <si>
    <t>3.142*0.408</t>
  </si>
  <si>
    <t xml:space="preserve">Plain Cement Concrete (1:4:8) prop.using 40mm nominal size well graded hard broken granite metal from approved quarry including cost and conveyance of all material, all labour charges for machine mixing of concrete, laying concrete, compacting by vibration including curing, finishing top surface to required levels neatly etc., complete as derected by Engineer-in-charge for finished item of work in foundations, excluding GST &amp; seigniorage charges. </t>
  </si>
  <si>
    <t>Bottom raft slab</t>
  </si>
  <si>
    <t>Raft beam below plinth level</t>
  </si>
  <si>
    <t xml:space="preserve">Footings of OHT &amp; Stair case </t>
  </si>
  <si>
    <t>Pedastal</t>
  </si>
  <si>
    <t xml:space="preserve">Tie beam below ground level </t>
  </si>
  <si>
    <t>Beams (Braces)</t>
  </si>
  <si>
    <t xml:space="preserve">Lower Braces-tie beam-below GL </t>
  </si>
  <si>
    <t>Brace -above 12.00mts and upto 15.00 mts -At a height of 14.50m from GL</t>
  </si>
  <si>
    <t>Bottom slab at 14.50m from GL</t>
  </si>
  <si>
    <t>Internal Columns in the tank above 15.00mts and upto 18.00 mt</t>
  </si>
  <si>
    <t>Inner Beams in Tank at roof level -a height of 18.45 M from GL</t>
  </si>
  <si>
    <t xml:space="preserve">Centering and scaffolding charges for RCC members including all materials and labour charges for forming and removing etc., complete as directed by Engineer-in-Charge for finished item of work. except GST. </t>
  </si>
  <si>
    <t>Columns, Braces and Beams - Above Ground level and up to 15.0 mt level :</t>
  </si>
  <si>
    <t>Columns, Braces and Beams -from 15.0 mt level up to 18.00mt:</t>
  </si>
  <si>
    <t>Providing High Yield Strength Deformed (HYSD)/ Thermo Mechanically Treated (TMT) steel bars  (Fe 415 grade as per IS 1786-1979)  upto 36mm dia for RCC and RCM works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all labour charges such as cutting, bending, placing in position, tying etc., complete for finished item of work, as directed by Engineer-in-Charge (APSS No.126),  excluding GST and seignorage charges.</t>
  </si>
  <si>
    <t>Supply and delivery of DI D/F Gate Valves (Soft Seated) Resilient seated soft, sealing gate valves (Sluice valves) with body bonnet of ductile cast iron of grade GGG-40/ SG-400/15 or GGG-50/SG-500/7 or equivalent grade as per I.S.3896-part2-1985 and subsequent revisions, wedge fully rubber lined with EPDM food grade quality and seals of NBR and the valves should be of vacuum tight and 100% leak proof with face to face dimensions as per BS5163-89/IS14846-2000/DIN 3202 F 4. All the valves should be with Electrostatic powder coating both inside and outside pocket less body passage. Drilled as per requirement of the department including cost and conveyance of material to work site, as directed by Engineer-in-Charge for finished item of work, except GST.</t>
  </si>
  <si>
    <t>250 mm dia. CI D/F Sluice valves</t>
  </si>
  <si>
    <t>300 mm dia. CI D/F Sluice valves</t>
  </si>
  <si>
    <t xml:space="preserve">Lowering, keeping in position and fixing C.I. sluice valves (with cap / with hand wheel &amp; reflex valves) excluding cost of bolts, nuts, rubber insertion, sluice valve and tail pieces,as directed by Engineer-in-Charge etc., complete for finished item of work, except GST. </t>
  </si>
  <si>
    <t>Jointing CI pipes, fittings and valves with flanged ends including cost of jointing materials such as bolts, rubber insertion, white lead including filling with water, with lead up to 500 meters and testing to required pressure complete. (Reference to specifications. BIS No.3114/1994.), as directed by Engineer-in-Charge for finished item of wor, except GST.</t>
  </si>
  <si>
    <t>i</t>
  </si>
  <si>
    <t>ii</t>
  </si>
  <si>
    <t>iii</t>
  </si>
  <si>
    <t>iv</t>
  </si>
  <si>
    <t>v</t>
  </si>
  <si>
    <t>vi</t>
  </si>
  <si>
    <t>vii</t>
  </si>
  <si>
    <t>C</t>
  </si>
  <si>
    <t>E</t>
  </si>
  <si>
    <t>F</t>
  </si>
  <si>
    <t>G</t>
  </si>
  <si>
    <t>H</t>
  </si>
  <si>
    <t>I</t>
  </si>
  <si>
    <t>II</t>
  </si>
  <si>
    <t>Nos.</t>
  </si>
  <si>
    <t>No.</t>
  </si>
  <si>
    <t>Job</t>
  </si>
  <si>
    <t xml:space="preserve"> Cum</t>
  </si>
  <si>
    <t>OHT -Columns (below bottom slab- size: 500mm x 500mm &amp; Above bottom slab- size: 500mm x 500mm) &amp; stair case column -500mm dia.</t>
  </si>
  <si>
    <t xml:space="preserve">Beam at Bottom slab -  at 14.50m from GL                                                  </t>
  </si>
  <si>
    <t>Re filling foundation/ basement /pipe line trenches  with useful excavated soils (other than black cotton soils and other expansive soils) with initial lead and lifts spreading in layers not exceeding 150mm thick, consolidating each deposited layer by watering and ramming, compacting by earth mover to achieve optimum moiture content including cost and conveyance of water to work site and all operational, incidental, all labour charges,  hire charges of T&amp;P etc., complete for finished item of work, as directed by Engineer-in-charge (APSS No. 309 &amp; 310), except GST.    (Total Excavation-Deduct Raft Foundation Qtys=768.46-128.65=639.81)</t>
  </si>
  <si>
    <t>250 mm dia. CI D/F Sluice valves                                                                   AB</t>
  </si>
  <si>
    <t>300 mm dia. CI D/F Sluice valves                                                                    AB</t>
  </si>
  <si>
    <t>Earthwork Excavation by mechanical means upto 3m depth (Blasting prohited) for OHT Trenches in Hardrock including hire and operational charges of mechinary labour charges for setting out construction of shoring and bracing removal stumps and deldtarious material,etc complete</t>
  </si>
  <si>
    <t>1Job</t>
  </si>
  <si>
    <t>C)250mm DIA D/F Flanged Pipes (1Mtr Length) For Outlet</t>
  </si>
  <si>
    <t>D)250mm DIA D/F Flanged Pipes (2Mtr Length) For Outlet</t>
  </si>
  <si>
    <t>Specials</t>
  </si>
  <si>
    <t xml:space="preserve">Footings for Columns      </t>
  </si>
  <si>
    <t>(Total EW Excavation-Sump Volume=912.9-785.22=127.61cum)                  AB</t>
  </si>
  <si>
    <t>Remarks</t>
  </si>
  <si>
    <t>Earth work excavation by Manual Means upto 3 mt depth for pipe Line tranches and depositing on bank in all types of soils like morum,red earth,gravely soils,ordinary soils upto SDR in all condition including hire and operational charges of mechinery,labour charges for setting out,construction of shoring and bracing removal of stumps and all other deletarious material,dressing on sides &amp; bottom of trench in all conditions viz dry,wet and slushy etc.,as directed by Engineer-in-charge etc.,complete for finished item of work  as per SS20 B (APSS 308),except GST</t>
  </si>
  <si>
    <t>110 mm dia HDPE 6Kg/Cm2 pipe</t>
  </si>
  <si>
    <t>225mm dia HDPE 6Kg/Cm2 pipe (pumping main+Distribution line)</t>
  </si>
  <si>
    <t>Bends</t>
  </si>
  <si>
    <t>End caps for</t>
  </si>
  <si>
    <t>Long nech pipe ends for</t>
  </si>
  <si>
    <t>MS Flanges to suit HDPE Pipes for</t>
  </si>
  <si>
    <t>Tees for</t>
  </si>
  <si>
    <t>100mm dia Sluice valves</t>
  </si>
  <si>
    <t>100mm Dia PN.16 CLASS</t>
  </si>
  <si>
    <t xml:space="preserve">Supply and Fixing of pre-cast RCC Chamber bottom size  width 36' Dia and top 21' Dia over CC Bed (1:4:8) including cast and conveyance all material labour charges and incidental charges etc complete </t>
  </si>
  <si>
    <t>Construction of Panal Board</t>
  </si>
  <si>
    <t>Construction of Panal Board Room</t>
  </si>
  <si>
    <t>S.No</t>
  </si>
  <si>
    <t>CIVIL WORKS</t>
  </si>
  <si>
    <t>Amount of Sanction (RS)</t>
  </si>
  <si>
    <t>Construction of 500KL Capacity of sump</t>
  </si>
  <si>
    <t>Construction of 500KL Capacity over head tank</t>
  </si>
  <si>
    <t>Providing distribution network system</t>
  </si>
  <si>
    <t xml:space="preserve">D) </t>
  </si>
  <si>
    <t>LS Provision</t>
  </si>
  <si>
    <t>DI Fittings</t>
  </si>
  <si>
    <t>Erection of Pumpsets</t>
  </si>
  <si>
    <t>Cost and Erection of  Pumps and Motors With Electrical Panal Board</t>
  </si>
  <si>
    <t>Provision per PS &amp; Contingencies @ 1.5%</t>
  </si>
  <si>
    <t>Provision per Prise adjestiment@ 5%</t>
  </si>
  <si>
    <t>Provision per Quality control @ 0.5%</t>
  </si>
  <si>
    <t>Provision per Tender Premium @5%</t>
  </si>
  <si>
    <t>NAC @0.1%</t>
  </si>
  <si>
    <t>seigniorage Charges</t>
  </si>
  <si>
    <t>Provision per GST@12%</t>
  </si>
  <si>
    <t>Provision per unforseen item @2%</t>
  </si>
  <si>
    <t>H)</t>
  </si>
  <si>
    <t>I)</t>
  </si>
  <si>
    <t>J)</t>
  </si>
  <si>
    <t>As per Sanction Estimate Amount Of RS</t>
  </si>
  <si>
    <t>As per Workdone Of RS</t>
  </si>
  <si>
    <t>%</t>
  </si>
  <si>
    <t>Name of Work:Providing water supply Facilities to Electronic Hardware Manifacturing Cluster at Maheswaram (V &amp; M) RR Dist</t>
  </si>
  <si>
    <t>D) Construction Of Panal Board Room</t>
  </si>
  <si>
    <t>1 No</t>
  </si>
  <si>
    <t>Supply, delivery and laying of 4 core, 4 sq mm, Copper armored underground cable finotex make from outdoor panel to pump set near MS shell including necessary connection with cost and conveyance of taxes duties with all other incidental and operational charges etc. complete as directed by the TSSC Engineers.</t>
  </si>
  <si>
    <t>Supply fabrication of suitable outdoor  panel with enamel coated in 16 SWG iron sheet comprising of below items internal wiring with necessary locking arrangements as mentioned below for 1 No. 20 HP open well submersible pump set of L&amp;T/BCH of its equivalent make a) 32 Amps contactors  3 No. b) Suitable relay 1 No.c) Suitable Timer 1 No d) 100 amps MVVB of 35 KVA 1 No e)32 amps MCB for capacitor 1 No f) 0-500 Volts voltmeter Digital 1 No. g) 0-60 amps Ammeter Digital 1 No h) Capacitor 15 KV. AR 1 No.  i) RYB indication lamps 1 set etc., complete as directed by the TSSC Engineers.</t>
  </si>
  <si>
    <t>1Set</t>
  </si>
  <si>
    <t>Less over The Estimate RS</t>
  </si>
  <si>
    <t>Less over The Estimate TP</t>
  </si>
  <si>
    <t>Vertical</t>
  </si>
  <si>
    <t>Horizental top and Bottom</t>
  </si>
  <si>
    <t>4.5KG/1RMT</t>
  </si>
  <si>
    <t>4x2x7</t>
  </si>
  <si>
    <t>Four sides</t>
  </si>
  <si>
    <t>Top</t>
  </si>
  <si>
    <t>2x7</t>
  </si>
  <si>
    <t>0.78KG/1Rmt</t>
  </si>
  <si>
    <t>Cost of 10mm Squar rods</t>
  </si>
  <si>
    <t>Epoxy Paint Top (1.5x1x1=1.5)</t>
  </si>
  <si>
    <t>Manfacturing supply delivery of Air valve gauge fabrication of size 1x1x1m using 50x50x6mm MS angles vertical and Horizental frame and  fixing 10mm square rods c/c  150mm including cost and conveyanc of all material and cost epoxy painting  labour charges and fixing gauge in cement concrete morter and all incidental operation etc complete.</t>
  </si>
  <si>
    <t>Cover Opening with lock arrangement</t>
  </si>
  <si>
    <t>Add 5% Burning Losses</t>
  </si>
  <si>
    <t xml:space="preserve">Manifacturing supply delivery of Air valve gauge fabrication of size 1x1x1m using 50x50x6mm MS angles vertical and horizental frame and fixing 10mm squre rods c/c 150mm including cost and convenyance of all material and cost epioxy paint labour charges and fixing gauge in cement concrete morter and allincidental operation etc complete. </t>
  </si>
  <si>
    <t xml:space="preserve"> </t>
  </si>
  <si>
    <t>Agt</t>
  </si>
  <si>
    <t>Discription of item</t>
  </si>
  <si>
    <t>As per Agreement</t>
  </si>
  <si>
    <t>As per Execution</t>
  </si>
  <si>
    <t>.No.</t>
  </si>
  <si>
    <t>Rate Per</t>
  </si>
  <si>
    <t>Total value</t>
  </si>
  <si>
    <t>Rate/ per</t>
  </si>
  <si>
    <t>Construction of 500 KL Capacity Over Head Tank</t>
  </si>
  <si>
    <t>Authorized extra</t>
  </si>
  <si>
    <t xml:space="preserve">As Per Deviated Approved Drawing </t>
  </si>
  <si>
    <t>Beam at Roof slab</t>
  </si>
  <si>
    <t>Roof Top Slab (150mm Thick)</t>
  </si>
  <si>
    <t>As per Excavated Quanitity</t>
  </si>
  <si>
    <t xml:space="preserve">250 mm dia. CI D/F Sluice valves                                                                   </t>
  </si>
  <si>
    <t xml:space="preserve">As Per Site Condition </t>
  </si>
  <si>
    <t>Construction of 500 KL Capacity SUMP</t>
  </si>
  <si>
    <t xml:space="preserve">Bottom annular slab                                                                                         </t>
  </si>
  <si>
    <t xml:space="preserve">Columns in the sump                                                                                        </t>
  </si>
  <si>
    <t xml:space="preserve">Beams below roof slab                                                                                    </t>
  </si>
  <si>
    <t xml:space="preserve">Roof  Slab                                                                                                       </t>
  </si>
  <si>
    <t xml:space="preserve">Side wall                                                                                                        </t>
  </si>
  <si>
    <t xml:space="preserve">Side wall                                                                                                         </t>
  </si>
  <si>
    <t xml:space="preserve">Providing Distribution Network System </t>
  </si>
  <si>
    <t xml:space="preserve">                    </t>
  </si>
  <si>
    <t>As Per Site Condition</t>
  </si>
  <si>
    <t>As Per Site Requirment</t>
  </si>
  <si>
    <t>Checking</t>
  </si>
  <si>
    <t>Supplimentary Item</t>
  </si>
  <si>
    <t>Supplimentary items for ELSR 500KL</t>
  </si>
  <si>
    <t>As per Site Requirment</t>
  </si>
  <si>
    <t>Supply and Fixing water level indicater containing indicater with suitable probe height with chain pully arrengement and using 15m standard cable as per site reserviour with 250mm dia ball and 40mm squre pipe frame conforming to IS 1230 Drilling hole in roof slab including all accessories etc., complete as directed by the department officers, excluding GST</t>
  </si>
  <si>
    <t>1 JOB</t>
  </si>
  <si>
    <t>Manifacturing,supply,delivery and fixing at site, the lightening protective system with copper plates and connecters with protective coating,including suitable earthing arrengements as per the standard specifications including cost and conveyance, labour charges etc.,complete as directed by the departmental officers, except GST</t>
  </si>
  <si>
    <t>Supply and Fixing of SS Railing containing vertical size 40mm thickness 16 gauge at height  1.10M and top horizental pipes 40mm size and thickness 16 gauge  and middle 25mm size thickness 16 gauge and including base covers and L Bends and Dummys as per standard requirements including cost and conveyance of all labour charges etc., complete, except GST</t>
  </si>
  <si>
    <t xml:space="preserve">For Staircase </t>
  </si>
  <si>
    <t>Supplimentary items for Sump 500KL</t>
  </si>
  <si>
    <t>Supplimentary items for Pipeline Distribution Network System</t>
  </si>
  <si>
    <t>225 mm dia HDPE 6Kg/Cm2 pipe</t>
  </si>
  <si>
    <t>1No's</t>
  </si>
  <si>
    <t>E)250mm DIA D/F Flanged Pipes (1Mtr Length) For Over flow</t>
  </si>
  <si>
    <t xml:space="preserve">above Plinth Level and up to 3.0 mt level                                                         </t>
  </si>
  <si>
    <t xml:space="preserve">Above 3.0 mt and Up to 6.0mt level                                                                </t>
  </si>
  <si>
    <t xml:space="preserve">Above 6.0 mt and Up to 9.0mt level                                                               </t>
  </si>
  <si>
    <t xml:space="preserve">Above 9.0 mt and Up to 12.0mt level                                                            </t>
  </si>
  <si>
    <t xml:space="preserve">Above12 mt and upto15.00 Mts level                                                            </t>
  </si>
  <si>
    <t xml:space="preserve">Above15 mt and upto18.00 Mts level                                                            </t>
  </si>
  <si>
    <t xml:space="preserve">Brace -From GL upto 3.00Mts                                                                     </t>
  </si>
  <si>
    <t xml:space="preserve">Brace -above 3.00mts and upto 6.00mts                                                       </t>
  </si>
  <si>
    <t xml:space="preserve">Brace -above 6.00mts and upto 9.00mts                                                       </t>
  </si>
  <si>
    <t xml:space="preserve">Brace -9.00mts and upto 12.00mts                                                               </t>
  </si>
  <si>
    <t xml:space="preserve">Side Wall                                                                                                       </t>
  </si>
  <si>
    <t xml:space="preserve">Roof Annular Slab                                                                                          </t>
  </si>
  <si>
    <t xml:space="preserve">Columns, Braces and Beams                                                                          </t>
  </si>
  <si>
    <t xml:space="preserve">Slabs (200mm Thick)                                                                                      </t>
  </si>
  <si>
    <t xml:space="preserve">Columns, Braces and Beams                                                                           </t>
  </si>
  <si>
    <t xml:space="preserve">225mm dia HDPE 6Kg/Cm2 pipe (pumping main+Distribution line)                                </t>
  </si>
  <si>
    <t>As per Site Condition</t>
  </si>
  <si>
    <t>A)250mm DIA D/F Flanged Pipes (1Mtr Length) For Inlet</t>
  </si>
  <si>
    <t>B)250mm DIA D/F Flanged Pipes (2Mtr Length) For Inlet</t>
  </si>
  <si>
    <t>F)250mm DIA D/F Flanged Pipes (2Mtr Length) For Over Flow</t>
  </si>
  <si>
    <t>G)150mm DIA D/F Flanged Pipes (1Mtr Length) For Scour</t>
  </si>
  <si>
    <t>H)150mm DIA D/F  Flanged Pipes (2Mtr Length) For Scour</t>
  </si>
  <si>
    <t>Manufacture, Supply and delivery of 150 Dia DI D/F Gate Valves (Soft Seated) Resilient seated soft sealing gate valves (Sluice valves) with body bonnet of ductile cast iron of grade GGG-40/ SG- 400/15 or GGG-50/SG-500/7 or equivalent grade as per I.S.3896-part2-1985 and subsequent revisions,  wedge fully rubber lined with EPDM food grade quality   and seals of NBR and the valves should be of vacuum tight and 100% leak proof with face to face dimensions as per BS5163-89/IS14846-2000/DIN 3202 F 4.  All the valves should be with Electrostatic powder coating both inside and outside pocket less body passage. Drilled as per requirement of the dept</t>
  </si>
  <si>
    <t>Supply and delivery of 150mm dia CI D/F Non return valve heavy duty round body conforming IS 5312/part 1/1984, including all taxes duties etc., complete the valves shall be tested requirement ISI make labor charges  etc complete as directed by the TSSC Engineers.</t>
  </si>
  <si>
    <t>Add 5% Transportation charges on Basic</t>
  </si>
  <si>
    <t>Add 13.615% Contract Profit and Overhead Charges</t>
  </si>
  <si>
    <t>A) 150MM Dia Non Return Valve</t>
  </si>
  <si>
    <t>Manifacture, Supply and Delivery of R.C.C Spun / Vibrated cast (Reinforced) Socket and Spigot pipes conforming to B.I.S. 458/2003, Cost of Rubber Ring,transportation charges and Including Labour Charges for lowering ,laying,jointing in readymade trenches true to alighenment and Gradient and all incidental operation charges etc complete</t>
  </si>
  <si>
    <t>(i)Basic Rate (as per CSSR-PH-2019-20)</t>
  </si>
  <si>
    <t>(iii)Tranporatation charges upto 20Kms</t>
  </si>
  <si>
    <t>(iv)Lowering,laying charges</t>
  </si>
  <si>
    <t>Add 13.615% Contract profit and Overhead Charges</t>
  </si>
  <si>
    <t>SSR 18-19</t>
  </si>
  <si>
    <t>Painting to new walls with two are more coats</t>
  </si>
  <si>
    <t>Maunfacture &amp; supply and delevary of CI Dismantaling joints</t>
  </si>
  <si>
    <t>100mm dia PN 16 Class</t>
  </si>
  <si>
    <t>250mm dia PN 16 Class</t>
  </si>
  <si>
    <t>Deduct Tender Primium 16.01%</t>
  </si>
  <si>
    <t>RCC SLAB For Sluice Valve Chambers for Sump</t>
  </si>
  <si>
    <t>RCC SLAB For Sluice Valve Chambers for ELSR</t>
  </si>
  <si>
    <t>For Sluice valves</t>
  </si>
  <si>
    <t xml:space="preserve">for Sluice valve </t>
  </si>
  <si>
    <t xml:space="preserve">Brace -12.00mts and upto 15.00 mts    (Ring beam)                            </t>
  </si>
  <si>
    <t>Data Recorded in MB But not entered in Abstract</t>
  </si>
  <si>
    <t>(ii)Basic Rate Rubber Ring (142/2.50)</t>
  </si>
  <si>
    <t>150mm</t>
  </si>
  <si>
    <t>27kg/1No</t>
  </si>
  <si>
    <t>69kg/1No</t>
  </si>
  <si>
    <t>20kg/1No</t>
  </si>
  <si>
    <t>b)Flanged spigot</t>
  </si>
  <si>
    <t>c)Flanged Socket</t>
  </si>
  <si>
    <t>28kg/1No</t>
  </si>
  <si>
    <t>32kg/1No</t>
  </si>
  <si>
    <t>For 500KL Sump Requirement</t>
  </si>
  <si>
    <t>For 500KL ELSR Requirement</t>
  </si>
  <si>
    <t xml:space="preserve">b)90 Degree bend </t>
  </si>
  <si>
    <t>50kgs/1No</t>
  </si>
  <si>
    <t>1*1</t>
  </si>
  <si>
    <t>128kgs/No</t>
  </si>
  <si>
    <t>400mm (Scour)</t>
  </si>
  <si>
    <t>d)Flanged Spigot</t>
  </si>
  <si>
    <t>For 500KL ELSR</t>
  </si>
  <si>
    <t>For 500KL Sump</t>
  </si>
  <si>
    <t>C)250mm DIA D/F Flanged Pipes (2Mtr Length) For Outlet</t>
  </si>
  <si>
    <t>D)250mm DIA D/F Flanged Pipes (4Mtr Length) For Outlet</t>
  </si>
  <si>
    <t>Special For 500KL ELSR (Duck foot bend,Bell-mouth,Tail piece,bends)</t>
  </si>
  <si>
    <t>Special For 500KL Sump (Duck foot bend,Bell-mouth,Tail piece,bends)</t>
  </si>
  <si>
    <t xml:space="preserve">For 500KL ELSR </t>
  </si>
  <si>
    <t>For 500KL GLSR</t>
  </si>
  <si>
    <t>Tender Premium 16.01%</t>
  </si>
  <si>
    <t>Tender Premium @16.01%</t>
  </si>
  <si>
    <t>Supplimentary Item Data</t>
  </si>
  <si>
    <t>Manufacture, Supply and delivery of DI D/F Gate Valves (Soft Seated) Resilient seated soft sealing gate valves (Sluice valves) with body bonnet of ductile cast iron of grade GGG-40/ SG- 400/15 or GGG-50/SG-500/7 or equivalent grade as per I.S.3896-part2-1985 and subsequent revisions,  wedge fully rubber lined with EPDM food grade quality   and seals of NBR and the valves should be of vacuum tight and 100% leak proof with face to face dimensions as per BS5163-89/IS14846-2000/DIN 3202 F 4.  All the valves should be with Electrostatic powder coating both inside and outside pocket less body passage. Drilled as per requirement of the dept</t>
  </si>
  <si>
    <t>500KL ELSR and Sump Data</t>
  </si>
  <si>
    <t xml:space="preserve">Add 13.615% Overhead &amp; Contract Profit </t>
  </si>
  <si>
    <t>Centring Details for 500KL OHT Roof Slab Centering Details</t>
  </si>
  <si>
    <t xml:space="preserve">Description </t>
  </si>
  <si>
    <t>Qty(m2)</t>
  </si>
  <si>
    <t>Roof Slab Centering</t>
  </si>
  <si>
    <t>Dome Centering(R=(h^2+r^2)/2h)),2*3.147*R*h</t>
  </si>
  <si>
    <t>2*3.14</t>
  </si>
  <si>
    <t xml:space="preserve">Flat slab centering </t>
  </si>
  <si>
    <t>1*3.14</t>
  </si>
  <si>
    <t>Inside Beam Centering (Outside)</t>
  </si>
  <si>
    <t>x</t>
  </si>
  <si>
    <t>Balcony Centering for Sides</t>
  </si>
  <si>
    <t>Steel Details for 500KL OHT Bottom Slab Steel</t>
  </si>
  <si>
    <t>Dia of Rod(mm)</t>
  </si>
  <si>
    <t>Cutting Length</t>
  </si>
  <si>
    <t>No's</t>
  </si>
  <si>
    <t>Total No of Rods</t>
  </si>
  <si>
    <t>Total Length</t>
  </si>
  <si>
    <t>Weight per Meter</t>
  </si>
  <si>
    <t>Total Weight</t>
  </si>
  <si>
    <t>Inner Ring Beam Steel Details</t>
  </si>
  <si>
    <t>Top &amp;  Bottom Main Bars</t>
  </si>
  <si>
    <t>16mm</t>
  </si>
  <si>
    <t>Top Extra Bars</t>
  </si>
  <si>
    <t>2x6</t>
  </si>
  <si>
    <t>Bottom Extra Bars</t>
  </si>
  <si>
    <t>12mm</t>
  </si>
  <si>
    <t>Outside Face Reinforcement</t>
  </si>
  <si>
    <t>Inside Face Reinforcement</t>
  </si>
  <si>
    <t>Inner Rings</t>
  </si>
  <si>
    <t>8mm</t>
  </si>
  <si>
    <t>1*180</t>
  </si>
  <si>
    <t>Flat Slab Steel Details</t>
  </si>
  <si>
    <t>Bottom mat Main Bars</t>
  </si>
  <si>
    <t>1x254</t>
  </si>
  <si>
    <t>Bottom mat Cercumferencial Bars</t>
  </si>
  <si>
    <t>Top mat main Bars</t>
  </si>
  <si>
    <t>Top mat Cercumferential Bars</t>
  </si>
  <si>
    <t>Dome Steel Details</t>
  </si>
  <si>
    <t>Dome Bottom mat Main Bars</t>
  </si>
  <si>
    <t>1X102</t>
  </si>
  <si>
    <t>Dome Bottom Cercumferential Bars</t>
  </si>
  <si>
    <t>1X33</t>
  </si>
  <si>
    <t>Dome Top mat main Bars</t>
  </si>
  <si>
    <t>1X240</t>
  </si>
  <si>
    <t>Dome Top mat Cercumferential Bars</t>
  </si>
  <si>
    <t>1X10</t>
  </si>
  <si>
    <t>Flat Slab Railing</t>
  </si>
  <si>
    <t>10mm</t>
  </si>
  <si>
    <t>2X50</t>
  </si>
  <si>
    <t>Dome Railing</t>
  </si>
  <si>
    <t>Stair Case Steel</t>
  </si>
  <si>
    <t>Beam(B2)</t>
  </si>
  <si>
    <t>Beam (B1) Main Bars</t>
  </si>
  <si>
    <t>Beam (B1) Top Extra Bars</t>
  </si>
  <si>
    <t>Beam (B1) Bottom Extra Bars</t>
  </si>
  <si>
    <t>Stirrups</t>
  </si>
  <si>
    <t>1x66</t>
  </si>
  <si>
    <t>Beam (B2) Main Bars</t>
  </si>
  <si>
    <t>Beam (B2) Top Extra Bars</t>
  </si>
  <si>
    <t>Beam (B2) Bottom Extra Bars</t>
  </si>
  <si>
    <t>Landing Steel</t>
  </si>
  <si>
    <t>Landing Bottom Distribution Bars</t>
  </si>
  <si>
    <t>1x45</t>
  </si>
  <si>
    <t>Landing Bottom Platform Distribution bars (Balcony)</t>
  </si>
  <si>
    <t>Landing top mat Distribution bars</t>
  </si>
  <si>
    <t>1x15</t>
  </si>
  <si>
    <t>Landing top mat Main bars</t>
  </si>
  <si>
    <t>1x13</t>
  </si>
  <si>
    <t>Landing top mat Distribution bars Balcony</t>
  </si>
  <si>
    <t>Flat slab top main bars</t>
  </si>
  <si>
    <t>1x40</t>
  </si>
  <si>
    <t>Flat slab Bottom main bars</t>
  </si>
  <si>
    <t>Beam Top and Bottom Main Bars (B2)</t>
  </si>
  <si>
    <t>Railing</t>
  </si>
  <si>
    <t>Qty(m3)</t>
  </si>
  <si>
    <t>BOTTOM SLAB CONCRETE</t>
  </si>
  <si>
    <t>Inner Ring Beam</t>
  </si>
  <si>
    <t>Column Between Slab</t>
  </si>
  <si>
    <t>Dome Concrete</t>
  </si>
  <si>
    <t xml:space="preserve"> Concrete Details for 500KL ELSR Roof Slab</t>
  </si>
  <si>
    <t>Impervious Coat Details for 500KL ELSR 15mtrs Staging</t>
  </si>
  <si>
    <t>Dome Impervious coat (R=(h^2+r^2)/2h)),2*3.147*R*h</t>
  </si>
  <si>
    <t>In Between Column Slab Plastering</t>
  </si>
  <si>
    <t>Bottom Balcony Plastering</t>
  </si>
  <si>
    <t>Roof Flat Slab plastering</t>
  </si>
  <si>
    <t>Roof Dome Plastering</t>
  </si>
  <si>
    <t>Total Qty (Sqm)</t>
  </si>
  <si>
    <t>Sidewall Outside Plastering</t>
  </si>
  <si>
    <t>Sidewall Inside Plastering</t>
  </si>
  <si>
    <t>500KL ELSR and Staircase and Sump SS Railing Details</t>
  </si>
  <si>
    <t>Total Rmt</t>
  </si>
  <si>
    <t>500KL ELSR Railing Details</t>
  </si>
  <si>
    <t>Bottom Slab Railing</t>
  </si>
  <si>
    <t>X</t>
  </si>
  <si>
    <t>Roof Slab Railing</t>
  </si>
  <si>
    <t>Staircase Railing Details</t>
  </si>
  <si>
    <t>Landing Railing</t>
  </si>
  <si>
    <t>500KL Sump Railing Details</t>
  </si>
  <si>
    <t>Sump Roof Slab Railing Details</t>
  </si>
  <si>
    <t>Painting Details for 500KL ELSR 15mtrs Staging</t>
  </si>
  <si>
    <t xml:space="preserve">Columns </t>
  </si>
  <si>
    <t>Outer GL Brace (GL+1+2+3)</t>
  </si>
  <si>
    <t>Inner Brace (GL+1+2+3)</t>
  </si>
  <si>
    <t>Connecting Beam (GL+1+2+3)</t>
  </si>
  <si>
    <t>Outer Beam Painting (Outside)</t>
  </si>
  <si>
    <t>Inside Beam Painting (Inside)</t>
  </si>
  <si>
    <t>Balcony Painting for Sides</t>
  </si>
  <si>
    <t>Topside Bottom Balcony Painting</t>
  </si>
  <si>
    <t>Sidewall Outside Painting</t>
  </si>
  <si>
    <t>Inside Roof Slab Beam Painting</t>
  </si>
  <si>
    <t>Inside Roof Flat Slab painting</t>
  </si>
  <si>
    <t>Inside Roof Dome Painting</t>
  </si>
  <si>
    <t>Top Side Roof Flat Slab Painting</t>
  </si>
  <si>
    <t>Top Side Roof Dome Painting</t>
  </si>
  <si>
    <t>Total Qty</t>
  </si>
  <si>
    <t>Painting Details for Dogg-Legged Staircase</t>
  </si>
  <si>
    <t>GL Beam Painting</t>
  </si>
  <si>
    <t>Columns Painting</t>
  </si>
  <si>
    <t>1st Landing</t>
  </si>
  <si>
    <t>1st Landing Painting</t>
  </si>
  <si>
    <t>1st Landing Sides Painting</t>
  </si>
  <si>
    <t>1st Landing Top Painting</t>
  </si>
  <si>
    <t>Beam (B2) Painting</t>
  </si>
  <si>
    <t>Beam (B1) Painting</t>
  </si>
  <si>
    <t>1st Landing Bottom Flat Slab Painting</t>
  </si>
  <si>
    <t>1st Landing Sides Flat Slab Painting</t>
  </si>
  <si>
    <t>1st Landing Top Flat Slab Painting</t>
  </si>
  <si>
    <t>2nd Landing</t>
  </si>
  <si>
    <t>Beam(B2) Painting</t>
  </si>
  <si>
    <t>Beam(B1) Painting</t>
  </si>
  <si>
    <t>2nd Landing Painting</t>
  </si>
  <si>
    <t>2nd Landing Sides Painting</t>
  </si>
  <si>
    <t>2nd Landing Top Painting</t>
  </si>
  <si>
    <t>2st Landing Bottom Flat Slab Painting</t>
  </si>
  <si>
    <t>2st Landing Sides Flat Slab Painting</t>
  </si>
  <si>
    <t>2st Landing Top Flat Slab Painting</t>
  </si>
  <si>
    <t>3rd Landing</t>
  </si>
  <si>
    <t>3rd Landing Painting</t>
  </si>
  <si>
    <t>3rd Landing Sides Painting</t>
  </si>
  <si>
    <t>3rd Landing Top Painting</t>
  </si>
  <si>
    <t>3rd Landing Bottom Flat Slab Painting</t>
  </si>
  <si>
    <t>3rd Landing Sides Flat Slab Painting</t>
  </si>
  <si>
    <t>3rd Landing Top Flat Slab Painting</t>
  </si>
  <si>
    <t>4th Landing</t>
  </si>
  <si>
    <t>4th Landing Painting</t>
  </si>
  <si>
    <t>4th Landing Sides Painting</t>
  </si>
  <si>
    <t>4th Landing Top Painting</t>
  </si>
  <si>
    <t>4th Landing Bottom Flat Slab Painting</t>
  </si>
  <si>
    <t>4th Landing Sides Flat Slab Painting</t>
  </si>
  <si>
    <t>4th Landing Top Flat Slab Painting</t>
  </si>
  <si>
    <t>5th Landing</t>
  </si>
  <si>
    <t>5th Landing Painting</t>
  </si>
  <si>
    <t>5th Landing Sides Painting</t>
  </si>
  <si>
    <t>5th Landing Top Painting</t>
  </si>
  <si>
    <t>5th Landing Bottom Flat Slab Painting</t>
  </si>
  <si>
    <t>5th Landing Sides Flat Slab Painting</t>
  </si>
  <si>
    <t>5th Landing Top Flat Slab Painting</t>
  </si>
  <si>
    <t>6th Landing</t>
  </si>
  <si>
    <t>6th Landing Painting</t>
  </si>
  <si>
    <t>6th Landing Sides Painting</t>
  </si>
  <si>
    <t>6th Landing Top Painting</t>
  </si>
  <si>
    <t>6th Landing Bottom Flat Slab Painting</t>
  </si>
  <si>
    <t>6th Landing Sides Flat Slab Painting</t>
  </si>
  <si>
    <t>6th Landing Top Flat Slab Painting</t>
  </si>
  <si>
    <t>7th Landing</t>
  </si>
  <si>
    <t>7th Landing Painting</t>
  </si>
  <si>
    <t>7th Landing Sides Painting</t>
  </si>
  <si>
    <t>7th Landing Top Painting</t>
  </si>
  <si>
    <t>7th Landing Bottom Flat Slab Painting</t>
  </si>
  <si>
    <t>7th Landing Sides Flat Slab Painting</t>
  </si>
  <si>
    <t>7th Landing Top Flat Slab Painting</t>
  </si>
  <si>
    <t>Bottom Slab Connecting Slab</t>
  </si>
  <si>
    <t>8th Landing</t>
  </si>
  <si>
    <t>8th Landing Painting</t>
  </si>
  <si>
    <t>8th Landing Sides Painting</t>
  </si>
  <si>
    <t>8th Landing Top Painting</t>
  </si>
  <si>
    <t>8th Landing Bottom Flat Slab Painting</t>
  </si>
  <si>
    <t>8th Landing Sides Flat Slab Painting</t>
  </si>
  <si>
    <t>8th Landing Top Flat Slab Painting</t>
  </si>
  <si>
    <t>9th Landing</t>
  </si>
  <si>
    <t>9th Landing Painting</t>
  </si>
  <si>
    <t>9th Landing Sides Painting</t>
  </si>
  <si>
    <t>9th Landing Top Painting</t>
  </si>
  <si>
    <t>9th Landing Bottom Flat Slab Painting</t>
  </si>
  <si>
    <t>9th Landing Sides Flat Slab Painting</t>
  </si>
  <si>
    <t>9th Landing Top Flat Slab Painting</t>
  </si>
  <si>
    <t>Roof Slab Connecting Slab</t>
  </si>
  <si>
    <t>In Between Column Slab Centering</t>
  </si>
  <si>
    <t>Bottom Balcony Centering</t>
  </si>
  <si>
    <t>Sidewall Inside Painting</t>
  </si>
  <si>
    <t>Topside Dome Painting(R=(h^2+r^2)/2h)),2*3.147*R*h</t>
  </si>
  <si>
    <t>Topside In Between Column Slab Painting</t>
  </si>
  <si>
    <t>Inner Column Painting</t>
  </si>
  <si>
    <t>Plastering Details for 500KL Sump Plastering Details</t>
  </si>
  <si>
    <t>Plastering for Sump</t>
  </si>
  <si>
    <t>Sump Bottom Raft Plastering</t>
  </si>
  <si>
    <t>Sump Sidewall Inside Plastering</t>
  </si>
  <si>
    <t>Column Plastering Near Wall 8 Columns</t>
  </si>
  <si>
    <t>Sump top slab  top side plastering</t>
  </si>
  <si>
    <t>Top slab patti</t>
  </si>
  <si>
    <t>Total  Qty</t>
  </si>
  <si>
    <t>Plastering Details for 500KL Sump Painting Details</t>
  </si>
  <si>
    <t>Painting for Sump</t>
  </si>
  <si>
    <t>Sump Bottom Raft Painting</t>
  </si>
  <si>
    <t>Sump Sidewall Inside Painting</t>
  </si>
  <si>
    <t>Column Painting Near Wall 8 Columns</t>
  </si>
  <si>
    <t>Sump top slab  top side Painting</t>
  </si>
  <si>
    <t>Sump inner column painting</t>
  </si>
  <si>
    <t>Top slab patti Painting</t>
  </si>
  <si>
    <t>As Per Deviated Approved Drawing (including ELSR and Sump Qty)</t>
  </si>
  <si>
    <t>Manufacture, Supply, &amp; Delivery of HDPE fittings conforming to IS 4984 - 1995 including transportation to anywhere in T.G. Excluding taxes</t>
  </si>
  <si>
    <t>Baic Rate</t>
  </si>
  <si>
    <t>Add 13.615% Contract profit and overhead charge</t>
  </si>
  <si>
    <t xml:space="preserve"> Plastering  with 12mm thick in single coat in CM (1:3) finished smooth including cost and conveyance of all materials to site,  finishing, curing, scaffolding and all operational, incidental, labour charges etc., including cutting grooves where ever necessary etc., complete for finished item of work as directed by Engineer-in-Charge, excluding GST  (As per SS 903).</t>
  </si>
  <si>
    <t xml:space="preserve">Re filling foundation/ basement /pipe line trenches  with useful excavated soils (other than black cotton soils and other expansive soils) ----   </t>
  </si>
  <si>
    <t>Supply &amp; fixing of Rolling shutter made of  80x1.25 mm machine rolled CRCA laths, interlocked together through their entire length and jointed together at the ends by end-locks, mounted on specially designed pipe shaft of 50mm Diameter nominal bore MS B class pipe with brackets, plates, guide channels, stoppers, bottom locking plates andarrangements for inside &amp; outside locking with push-pull operations including cost of hood cover and springs complete, painted with one coat of approved steel primer, locks, ball bearings, all accessories etc complete for finisheditemofworkasperspecialSpec:110, Excluding GST</t>
  </si>
  <si>
    <t>Tender Premium@16.01%</t>
  </si>
  <si>
    <t>Tender premium@16.01%</t>
  </si>
  <si>
    <t>1 Rmt</t>
  </si>
  <si>
    <t>Providing and laying of Vibrated Reinforced Cement Concrete corresponding to M-30 grade Design Mix Concrete corresponding to IS 456 using weigh batcher with 20mm size ----</t>
  </si>
  <si>
    <t>Above Basement PCC</t>
  </si>
  <si>
    <t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weigh batcher, machine mixing, laying concrete, vibrating, finishing smooth to required levels, curing, pumping to work spot, lifting of material with  mechanical equipment like winch, etc., all other incidental and operational charges, all labour charges, etc., but excluding cost of centering &amp; shuttering, cost of steel and its fabrication charges complete as directed by Engineer-in-Charge for the following finished item of work, excluding GST &amp; seigniorage charges.  </t>
  </si>
  <si>
    <t>Supply &amp; fixing of Rolling shutter made of 80 x 1.25 mm machine rolled CRCA laths, interlocked together through their entire length and jointed together at the ends by end-locks, mounted on specially designed pipe shaft of 50mm Diameter nominal bore MS B class pipe with brackets, plates, guide channels, stoppers, bottom locking plates and arrangements for inside &amp; outside locking with push-pull operations including cost of hood cover and springs complete, painted with one coat of approved steel primer, locks, ball bearings, all accessories etc complete for finished item of work as per special Spec: 110</t>
  </si>
  <si>
    <t>Add 5% Transport Charges from Basic Rate</t>
  </si>
  <si>
    <t>Footing Concrete</t>
  </si>
  <si>
    <t>Column Concrete upto Roof level</t>
  </si>
  <si>
    <t>Plinth Beam Concrete</t>
  </si>
  <si>
    <t>Long Beam EPB1</t>
  </si>
  <si>
    <t>Short Beam EPB1</t>
  </si>
  <si>
    <t>Short Beam IPB1</t>
  </si>
  <si>
    <t>Roof Beam and Slab Concrete</t>
  </si>
  <si>
    <t>Long Beam Concrete (B1)</t>
  </si>
  <si>
    <t>Short Beam Concrete (B1)</t>
  </si>
  <si>
    <t>Slab Concrete</t>
  </si>
  <si>
    <t>A) 80MM Dia Gate Valve PN-16</t>
  </si>
  <si>
    <t>B) 150MM Dia Gate Valve PN-16</t>
  </si>
  <si>
    <t>iiI</t>
  </si>
  <si>
    <t>C) 400MM Dia Gate Valve PN-16</t>
  </si>
  <si>
    <t>A) MS Flanges</t>
  </si>
  <si>
    <t>400mm Dia</t>
  </si>
  <si>
    <t>Cost of M.S Flanges including cost of bolts, nuts, rubber packing etc., complete and flange thickness confirming to IS:7322-1985 and flange dimensions confirming to IS:1538-1993 excluding cost of MS specials including cost and conveyance to site etc., complete.</t>
  </si>
  <si>
    <t>Providing, laying, testing &amp; Commissioning of following classes MS pipes conforming to IS 3589 and 1239 including fittings like elbows, tees, flanges, tapers, nuts, bolts, gaskets etc., complete. Makes : Jindal / Hissar / Tata pipes</t>
  </si>
  <si>
    <t xml:space="preserve"> a)weight of  MS plate</t>
  </si>
  <si>
    <t>b)Cost of MS Plate</t>
  </si>
  <si>
    <t>c)Fabrication Charges</t>
  </si>
  <si>
    <t>d)Epoxy Paint (2x3.14x0.408x1=2.560)</t>
  </si>
  <si>
    <t>e)Transportation charges</t>
  </si>
  <si>
    <t>f)Lowering and Laying Charges</t>
  </si>
  <si>
    <t>400mm Dia MS Pipe (KG amount taken from Market value)</t>
  </si>
  <si>
    <t>a)Weight of MS Angle (50x50x6mm) (Market Value)</t>
  </si>
  <si>
    <t>b)10mm Squar Rods</t>
  </si>
  <si>
    <t>c)Cost of MS Angle</t>
  </si>
  <si>
    <t>d)Fabrication Charges</t>
  </si>
  <si>
    <t>e)Epoxy Paint Sides (4x1.5x1x1=6)</t>
  </si>
  <si>
    <t>f)Transportation charges</t>
  </si>
  <si>
    <t>g)Fixing air vlve gauge with cement concrete morter and Laying Charges</t>
  </si>
  <si>
    <t xml:space="preserve"> a)Columns</t>
  </si>
  <si>
    <t>b)Plinth Beam</t>
  </si>
  <si>
    <t>c)Roof Beam</t>
  </si>
  <si>
    <t>d)Roof Slab</t>
  </si>
  <si>
    <t>Qty item no 4  at 16cum@130kg/1cum</t>
  </si>
  <si>
    <t>Septic Tank Slab</t>
  </si>
  <si>
    <t>Septic Tank pcc</t>
  </si>
  <si>
    <t xml:space="preserve">Plastering  with 12mm thick in single coat in CM (1:4) finished smooth including cost and conveyance of all materials to site, finishing, curing, scaffolding and all operational, incidental, labour charges etc., including cutting grooves where ever necessary etc., complete for finished item of work as directed by Engineer-in-Charge, excluding GST  (As per SS 903). </t>
  </si>
  <si>
    <t>Baement outide plastering</t>
  </si>
  <si>
    <t xml:space="preserve">Re filling foundation/ basement /pipe line trenches  with useful excavated soils (other than black cotton soils and other expansive soils) with initial lead and lifts spreading in layers not exceeding 150mm thick, consolidating each deposited layer by watering and ramming, compacting by earth mover to achieve optimum moiture content including cost and conveyance of water to work site and all operational, incidental, all labour charges,  hire charges of T&amp;P etc., complete for finished item of work, as directed by Engineer-in-charge (APSS No. 309 &amp; 310), except GST.    </t>
  </si>
  <si>
    <t>Earthwaork Excavation Qty</t>
  </si>
  <si>
    <t>Basement Filling Qty</t>
  </si>
  <si>
    <t>For Basement</t>
  </si>
  <si>
    <t>For Footing</t>
  </si>
  <si>
    <t>Earth work excavation  by Mechanical means for Sump/OHT/Pump Room &amp; Pipe Line trenches and depositing on bank in all types of soils like morum, red earth, gravely soils, ordinary soils upto SDR  in all conditions including hire &amp; operational charges of machinery, labour charges for setting out, construction of shoring and bracing, removal of stumps and all other deletarious matter, dressing on sides &amp; bottom of trench in all conditions viz dry, wet and slushy etccomplete for finished item of work as per SS 20 B (APSS 308), except GST.</t>
  </si>
  <si>
    <t>Panel Room</t>
  </si>
  <si>
    <t>Painting to new walls with two or more coats of Water proof cement paint of approved make, shade and colour to give uniform shade to all plastered surfaces of walls over a base coat of approved cement, primary grade making 3 coats of white cement (total 3 or more coats) in all to give an even shade after thoroughly brushing the surface to remove all dirt and remains of loose powedered materials including cost and conveyance of all materials to work site, and all labour charges such as preparation of the wall surface, applying priming coat, applying water proof cement paint two or more coats, curing, scaffolding etc., complete as directed by Engineer-in-Charge for finished item of work as per SS 912, except GST.</t>
  </si>
  <si>
    <t>Deduct Rock Volume 23%</t>
  </si>
  <si>
    <t xml:space="preserve">Earth work excavation  by Mechanical means upto 3 mt depth  (blasting prohibited) for Pipe Line trenches and depositing on bank in all types of soils like morum, red earth, gravely soils, ordinary soils upto SDR  in all conditions including hire &amp; operational charges of machinery, labour charges for setting out, construction of shoring and bracing, removal of stumps and all other deletarious material, dressing on sides &amp; bottom of trench in all conditions viz dry, wet and slushy etc., as directed by Engineer-in-Charge etc., complete for finished item of work as per SS 20 B (APSS 308), except GST. </t>
  </si>
  <si>
    <t>Basic Rate (Data taken from ELSR))</t>
  </si>
  <si>
    <t>A)Footing,Column,Beams,Roof Slab</t>
  </si>
  <si>
    <t>A) Above Ground Level Columns and Beams, Roof Slab</t>
  </si>
  <si>
    <t>Deduct   TP@16.01%</t>
  </si>
  <si>
    <t>Rate per 1 NO.</t>
  </si>
  <si>
    <t>Rate per 1 RMT</t>
  </si>
  <si>
    <t>Ordinary soils-Mechnical means-Upto 3m depth</t>
  </si>
  <si>
    <t>Unit=Cum</t>
  </si>
  <si>
    <t>a)Labour</t>
  </si>
  <si>
    <t>Mazdoor (unskilled)</t>
  </si>
  <si>
    <t>each</t>
  </si>
  <si>
    <t>Area allowance</t>
  </si>
  <si>
    <t>b) Machinery</t>
  </si>
  <si>
    <t>Hydralic excavator 1 Cum bucket capacity</t>
  </si>
  <si>
    <t>hr</t>
  </si>
  <si>
    <t>per hr</t>
  </si>
  <si>
    <t>Rate per 240 Cum</t>
  </si>
  <si>
    <t>/240Cum</t>
  </si>
  <si>
    <t>/1Cum</t>
  </si>
  <si>
    <t>Overhead charges &amp; Contractors profit @ 13.615%</t>
  </si>
  <si>
    <t>Deduct Tender premium@16.01%</t>
  </si>
  <si>
    <t>Taking output=240 Cum</t>
  </si>
  <si>
    <t>Labour</t>
  </si>
  <si>
    <t>Mason-CI-I</t>
  </si>
  <si>
    <t>Each</t>
  </si>
  <si>
    <t>Mazdoor (Unskilled)</t>
  </si>
  <si>
    <t>Machinery</t>
  </si>
  <si>
    <t>Concrete mixer 10/7 cft (0.2/0.8 cum) capacity</t>
  </si>
  <si>
    <t>Hours</t>
  </si>
  <si>
    <t>Cement</t>
  </si>
  <si>
    <t>Coarse aggrigate (40mm Metal)</t>
  </si>
  <si>
    <t>Coarse sand</t>
  </si>
  <si>
    <t>Rock sand</t>
  </si>
  <si>
    <t>Ton</t>
  </si>
  <si>
    <t>Cost of water RURAL</t>
  </si>
  <si>
    <t>KL</t>
  </si>
  <si>
    <t>Rate for 1 Cum (i+ii+iii)</t>
  </si>
  <si>
    <t>Mason 1st class</t>
  </si>
  <si>
    <t>Area allowance 40%</t>
  </si>
  <si>
    <t>Total I</t>
  </si>
  <si>
    <t>Concrete mixer 0.28 Cum</t>
  </si>
  <si>
    <t>Hour</t>
  </si>
  <si>
    <t>Total II</t>
  </si>
  <si>
    <t>Supply of hand broken crushed course aggregate of grading -III</t>
  </si>
  <si>
    <t xml:space="preserve">20mm Metal </t>
  </si>
  <si>
    <t>10mm Metal</t>
  </si>
  <si>
    <t>Total III</t>
  </si>
  <si>
    <t>Rate for 1 Cum Total(I+II+III)</t>
  </si>
  <si>
    <t>Over head charges 14%</t>
  </si>
  <si>
    <t>Add VAT 1.75%</t>
  </si>
  <si>
    <t>sundries</t>
  </si>
  <si>
    <t xml:space="preserve">Rate for 1Cum </t>
  </si>
  <si>
    <t>Over head charges 13.615%</t>
  </si>
  <si>
    <t>Rate for Concrete per 1 Cum, excluding cost of Centering, Shuttering &amp; Steel Reinforcement.</t>
  </si>
  <si>
    <t>Columns, Lintels, Water Tanks, RCC walls in Buildings -M30 grade</t>
  </si>
  <si>
    <t>A. Materials:</t>
  </si>
  <si>
    <t xml:space="preserve">Cement </t>
  </si>
  <si>
    <t>kgs</t>
  </si>
  <si>
    <t>/ kg</t>
  </si>
  <si>
    <t xml:space="preserve">20mm HBG graded metal </t>
  </si>
  <si>
    <t>/cum</t>
  </si>
  <si>
    <t xml:space="preserve">Sand </t>
  </si>
  <si>
    <t>/ cum</t>
  </si>
  <si>
    <t>Water (including for curing)(as per SSR 2017-18)</t>
  </si>
  <si>
    <t>kl</t>
  </si>
  <si>
    <t>/kl</t>
  </si>
  <si>
    <t>B. Machinery</t>
  </si>
  <si>
    <t>Batching plant 0.5 cum (6 cum/hr)</t>
  </si>
  <si>
    <t>hour</t>
  </si>
  <si>
    <t>/ hour</t>
  </si>
  <si>
    <t>40mm needle vibrator hire charges(pg-406) petrol</t>
  </si>
  <si>
    <t>C. Labour</t>
  </si>
  <si>
    <t xml:space="preserve">Mason 1st class </t>
  </si>
  <si>
    <t xml:space="preserve">Mason 2nd class </t>
  </si>
  <si>
    <t>Area allowance @ 25%</t>
  </si>
  <si>
    <t>Unit=cum, Taking output=6 Cum BLD-CSTN 3-1, P.No-19</t>
  </si>
  <si>
    <t>Refilling with excavated earth</t>
  </si>
  <si>
    <t>Mazdoor</t>
  </si>
  <si>
    <t>Rate per 6 Cum</t>
  </si>
  <si>
    <t>Rate per 1 Cum</t>
  </si>
  <si>
    <t>/6Cum</t>
  </si>
  <si>
    <t>Supply, delivery and fixing of 20 HP 3 phase 415 Volts submersible monoblock horizontle  booster pump set with a Head of 25 Mts. to discharge 37LPS of Lubi/texmo including cost and  conveyance of all materials and labor charges etc complete as directed by the TSSC Engineers.</t>
  </si>
  <si>
    <t>Motors Supplimentary Items</t>
  </si>
  <si>
    <t>Add 5% Transport charges on Basic</t>
  </si>
  <si>
    <t>Deduct Tender Premium@16.01%</t>
  </si>
  <si>
    <t>Supply of 4-Sq-mm(56/0.3) 4-Core  PVC Insulated and FRLS Round Sheathed Multi Core Bright Annealed Bare Copper Conductor Heavy Duty Industrial Cables for Voltage Grade upto 1100 Volts as per IS: 694:1990 including all transportation charges etc complete. Makes : Finolex / RR kabel / Havells / Polycab / RPG / KEI / Nakoda / Sun cab / Sudhakar / Powerflex / Gemni / HPL / Gloster</t>
  </si>
  <si>
    <t>4-Sq-mm(56/0.3) 4-core (CSSR-ELEC-2018-19)</t>
  </si>
  <si>
    <t>Electric Cable/Switch/Control Panel etc (CSSR-MRC-2018-19)</t>
  </si>
  <si>
    <t xml:space="preserve">Note: Add 30% Extra for Perforated cable tray with cover </t>
  </si>
  <si>
    <t>Supply, Transportation and Installation of 150mmx50mmx1.6mm thick hot dip GI perforated cable tray without cover along with coupler plates, Anchor bolts and nuts etc complete and the tray should be fitted on the wall / Ceiling etc. complete for finished item of work.</t>
  </si>
  <si>
    <t>Add 30% Extra</t>
  </si>
  <si>
    <t>A)250mm DIA Flanged Pipes (1Mtr Length)</t>
  </si>
  <si>
    <t>B)250mm DIA Flanged Pipes (2Mtr Length)</t>
  </si>
  <si>
    <t>C)250mm DIA Flanged Pipes (4Mtr Length)</t>
  </si>
  <si>
    <t>D)150mm DIA Flanged Pipes (1Mtr Length)</t>
  </si>
  <si>
    <t>E)150mm DIA Flanged Pipes (2Mtr Length)</t>
  </si>
  <si>
    <t>B)150mm dia meter</t>
  </si>
  <si>
    <t>Labour for laying Sluice Valve with cap , with hand wheel &amp; reflex valve (72.5+77+90)/3=79.83</t>
  </si>
  <si>
    <t>kg</t>
  </si>
  <si>
    <t>g)Add 13.615% Overhead &amp; Contractors Profit</t>
  </si>
  <si>
    <t>Deduct 16.01% Tender premium</t>
  </si>
  <si>
    <t>a) Labour</t>
  </si>
  <si>
    <t xml:space="preserve">Labour for laying Sluice Valve with cap , with hand wheel &amp; reflex valve </t>
  </si>
  <si>
    <t>80mm dia pipe</t>
  </si>
  <si>
    <t>Plumber 1st class</t>
  </si>
  <si>
    <t>Plumber 2st class</t>
  </si>
  <si>
    <t>Man mazdoor</t>
  </si>
  <si>
    <t>b) Material</t>
  </si>
  <si>
    <t xml:space="preserve">Bolts and nuts 16mm dia 60mm long </t>
  </si>
  <si>
    <t>Rubber inertion 5mm thick</t>
  </si>
  <si>
    <t>While lead</t>
  </si>
  <si>
    <t>c)Testing</t>
  </si>
  <si>
    <t>d)Total =a+b+c</t>
  </si>
  <si>
    <t>e)Add for Water charges @ 1% on Labour &amp; testing charges</t>
  </si>
  <si>
    <t>f)Total=d+e+f</t>
  </si>
  <si>
    <t>rm</t>
  </si>
  <si>
    <t>Details of cost for 10 joints</t>
  </si>
  <si>
    <t>Cost for 10 joints</t>
  </si>
  <si>
    <t>Rate for joint</t>
  </si>
  <si>
    <t>150mm dia pipe</t>
  </si>
  <si>
    <t>C) 400MM Dia meter</t>
  </si>
  <si>
    <t>SUP NO</t>
  </si>
  <si>
    <t xml:space="preserve">Plain Cement concrete (M 20) grade using 20mm and 10mm metal using concrete mixer nominal size well graded machine crushed  granite stone chips from approved quarry including  cost and conveyance and seigniorage charges of all materials like cement, sand coarse aggregate, water etc., to site, cost of seigniorage on materials including centering, shuttering machine mixing, laying concrete, tamping finishing smooth to required levels, curing mall other incidental and operational charges, labour charges etc., complete but excluding cost of steel and its fabrication charges for the following finished item of work. </t>
  </si>
  <si>
    <r>
      <t xml:space="preserve">For 500KL ELSR </t>
    </r>
    <r>
      <rPr>
        <sz val="12"/>
        <color rgb="FFFF0000"/>
        <rFont val="Times New Roman"/>
        <family val="1"/>
      </rPr>
      <t>(Quotation)</t>
    </r>
  </si>
  <si>
    <r>
      <t xml:space="preserve">For 500KL Sump </t>
    </r>
    <r>
      <rPr>
        <sz val="12"/>
        <color rgb="FFFF0000"/>
        <rFont val="Times New Roman"/>
        <family val="1"/>
      </rPr>
      <t>(Quotation</t>
    </r>
    <r>
      <rPr>
        <sz val="12"/>
        <color theme="1"/>
        <rFont val="Times New Roman"/>
        <family val="1"/>
      </rPr>
      <t>)</t>
    </r>
  </si>
  <si>
    <r>
      <t xml:space="preserve">For 500KL Sump </t>
    </r>
    <r>
      <rPr>
        <sz val="12"/>
        <color rgb="FFFF0000"/>
        <rFont val="Times New Roman"/>
        <family val="1"/>
      </rPr>
      <t>(Quotation)</t>
    </r>
  </si>
  <si>
    <r>
      <t xml:space="preserve">For 500KL ELSR </t>
    </r>
    <r>
      <rPr>
        <sz val="12"/>
        <color rgb="FFC00000"/>
        <rFont val="Times New Roman"/>
        <family val="1"/>
      </rPr>
      <t>(Quotation)</t>
    </r>
  </si>
  <si>
    <r>
      <t xml:space="preserve">For 500KL Sump </t>
    </r>
    <r>
      <rPr>
        <sz val="12"/>
        <color rgb="FFC00000"/>
        <rFont val="Times New Roman"/>
        <family val="1"/>
      </rPr>
      <t>(Quotation)</t>
    </r>
  </si>
  <si>
    <r>
      <t xml:space="preserve">Dogg-Legged Staircase </t>
    </r>
    <r>
      <rPr>
        <sz val="11"/>
        <color rgb="FFC00000"/>
        <rFont val="Calibri"/>
        <family val="2"/>
        <scheme val="minor"/>
      </rPr>
      <t>(Quotation)</t>
    </r>
  </si>
  <si>
    <t>500KL Sump Data</t>
  </si>
  <si>
    <t>A)400mm Dia MS Pipe</t>
  </si>
  <si>
    <t>A)150mm Dia MS Pipe</t>
  </si>
  <si>
    <t>B)250mm Dia MS Pipe</t>
  </si>
  <si>
    <r>
      <t xml:space="preserve">Sluice Valve Chambers </t>
    </r>
    <r>
      <rPr>
        <sz val="11"/>
        <color rgb="FFC00000"/>
        <rFont val="Calibri"/>
        <family val="2"/>
        <scheme val="minor"/>
      </rPr>
      <t>(Quotation)</t>
    </r>
  </si>
  <si>
    <t>B)150mm Dia Gate valve for OHT Scour</t>
  </si>
  <si>
    <t>C)400mm Dia Gate valve for Sump Scour</t>
  </si>
  <si>
    <t>A)80mm Dia Scour valve for Pipeline</t>
  </si>
  <si>
    <t>400mm Dia M.S Flanges</t>
  </si>
  <si>
    <t>(B) TEES</t>
  </si>
  <si>
    <t>CC Road Concrete for Pipeline restoring of roads</t>
  </si>
  <si>
    <t>Columns,Braces and Roof Slab</t>
  </si>
  <si>
    <t>Above Ground Level</t>
  </si>
  <si>
    <t>Shuttering Rate:</t>
  </si>
  <si>
    <t>Overhead Charges &amp; Contract Profit@13.615%</t>
  </si>
  <si>
    <t>Deduct Tender Premium @16.01%</t>
  </si>
  <si>
    <t>Unit; 1MT,Output:1MT BLD-CSTN-4-1</t>
  </si>
  <si>
    <t>HYSD/TMT  Bars including 5% for overlaps and wastage</t>
  </si>
  <si>
    <t>Binding wire</t>
  </si>
  <si>
    <t>Labour for cutting,bending,shifting to site,tying,lap splicing and placing in poition</t>
  </si>
  <si>
    <t>1st class Blacksmith/Barbender</t>
  </si>
  <si>
    <t>2nd class Blacksmith/Barbender</t>
  </si>
  <si>
    <t>Mazdoor(Unskilld)</t>
  </si>
  <si>
    <t>Rate for 1 MT</t>
  </si>
  <si>
    <t>Rate for 1 Kg</t>
  </si>
  <si>
    <t>Overhead charges and Contract Profit@13.615%</t>
  </si>
  <si>
    <t>/1MT</t>
  </si>
  <si>
    <t>/1Kg</t>
  </si>
  <si>
    <t>Providing Brick Masonry work in CM(1:6) prop with flyash cement solid blocks of size 290x225x140 mm and compresive strength not less than 50Kg/sqm including cost and conveyance of all materials, labour charges, seigniorage charges, scaffolding and curing, etc., excluding GST, complete for wall.</t>
  </si>
  <si>
    <t>A. MATERIALS:</t>
  </si>
  <si>
    <t>No of Fly ash Solid Bricks of Size 290x225x140 required for 1 cum of masonry - TBSC. A.II - 08</t>
  </si>
  <si>
    <t>No.s</t>
  </si>
  <si>
    <t>B. LABOUR:</t>
  </si>
  <si>
    <t>Mason 2nd Class</t>
  </si>
  <si>
    <t xml:space="preserve">Man Mazdoor </t>
  </si>
  <si>
    <t>Women Mazdoor</t>
  </si>
  <si>
    <t>Area Allowance@0%</t>
  </si>
  <si>
    <t>Over head charges &amp; Contractors profit @13.615%</t>
  </si>
  <si>
    <t>Grand Total</t>
  </si>
  <si>
    <t>Say Rs.</t>
  </si>
  <si>
    <t>/1 Cum</t>
  </si>
  <si>
    <t>Cement Mortar (1:6)-BLD-CSTN-1-7</t>
  </si>
  <si>
    <t>Deduct Tender premium@16.01@</t>
  </si>
  <si>
    <t>Mason 1st Class</t>
  </si>
  <si>
    <t>Area Allowance @ 0%</t>
  </si>
  <si>
    <t>Over Head and Contractor's Profit @13.615%</t>
  </si>
  <si>
    <t>Sundries</t>
  </si>
  <si>
    <t xml:space="preserve">Rate per cum </t>
  </si>
  <si>
    <t>Plastering in 12mm thick to even faces of brick wall surfaces in two coats with base coat in CM (1:6) 8mm thick and top coat in CM (1:4) 4mm thick with dubara sponge finishing including cost and conveyance of all materials like cement, sand, water etc., to site including all operational &amp; incidental charges, seigniorage charges and  all labour charges for mixing mortar, finishing, scaffolding, lift charges, curing, including cutting grooves wherever necessary  etc.,  excluding GST, complete for finished item of work.</t>
  </si>
  <si>
    <t>Unit=Sqm, Output=10Sqm</t>
  </si>
  <si>
    <t>Mazdoor(unskilled)</t>
  </si>
  <si>
    <t>Day</t>
  </si>
  <si>
    <t>Mason 2nd class</t>
  </si>
  <si>
    <t>Base Coat-(1:6) 8mm thick</t>
  </si>
  <si>
    <t>Sand for Mortar</t>
  </si>
  <si>
    <t>Cement OPC(43/53grd)</t>
  </si>
  <si>
    <t>Mt</t>
  </si>
  <si>
    <t>Top Coat-(1:4) 4mm thick</t>
  </si>
  <si>
    <t>Rate  per 10 Sqm</t>
  </si>
  <si>
    <t>Rate  per 1 Sqm</t>
  </si>
  <si>
    <t>/1 Sqm</t>
  </si>
  <si>
    <t>Sand for Mortar BLD-CTN-1-7</t>
  </si>
  <si>
    <t>Add 13.615% Overhead &amp; Contract profit</t>
  </si>
  <si>
    <t>Deduct Tender Primium@16.01%</t>
  </si>
  <si>
    <t>Unit:Sqm  Output : 10 Sqm</t>
  </si>
  <si>
    <t>CM(1:3)</t>
  </si>
  <si>
    <t>Water proofing compound</t>
  </si>
  <si>
    <t>Rate for 10 Sqm(i+ii)</t>
  </si>
  <si>
    <t>Rate for 1 Sqm</t>
  </si>
  <si>
    <t>/10Sqm</t>
  </si>
  <si>
    <t>/1Sqm</t>
  </si>
  <si>
    <t>BLD-CSTN-12-5</t>
  </si>
  <si>
    <t>White Cement (TSBC-R.1-01)</t>
  </si>
  <si>
    <t>Water proofing Cement Paint (TBSC G-II.04)</t>
  </si>
  <si>
    <t>Mason 1st Painter</t>
  </si>
  <si>
    <t>Mason 2nd Painter</t>
  </si>
  <si>
    <t>A) 150MM Dia Gate Valve PN-16</t>
  </si>
  <si>
    <t>Pedestals Concrete</t>
  </si>
  <si>
    <t>As Per Deviated Approved Drawing including  columns and stair case which was not included in estimate  (including ELSR and Sump Qty)</t>
  </si>
  <si>
    <t>RR Masonary in CM (1:6) 2nd sort stones including cost and conveyance of all material labour charges and all incidental and operational charges etc compiete</t>
  </si>
  <si>
    <t>Basic Rate (as per CSSR-(PH 27-2)-2018-19)</t>
  </si>
  <si>
    <t>(PH-27 S o R-2)</t>
  </si>
  <si>
    <t>Basic Rate (as per CSSR-(PH-27-2)-2018-19)</t>
  </si>
  <si>
    <t>CSSR-(PH 21-3)-2018-19</t>
  </si>
  <si>
    <t>PH-21 So R-3</t>
  </si>
  <si>
    <t>A) DI Fittings upto 300mm Dia (CSSR-(PH-22-1-IV-V-VII)-2018-19)</t>
  </si>
  <si>
    <t>(CSSR-(PH-22-1-IV-V-VII)-2018-19)</t>
  </si>
  <si>
    <t>A)150mm Dia Pipe C Class (CSSR-ELEC 10.7.19.C-2018-19)</t>
  </si>
  <si>
    <t>(CSSR-ELEC 10.7.19.C-2018-19)</t>
  </si>
  <si>
    <t>B)250mm Dia Pipe C Class (CSSR-ELEC 10.7.19.a-2018-19)</t>
  </si>
  <si>
    <t xml:space="preserve"> (CSSR-ELEC 10.7.19.a-2018-19)</t>
  </si>
  <si>
    <t>A)400mm Dia RCC NP-2 Class Pipes (CSSR-PH 3-1-I-18-19)</t>
  </si>
  <si>
    <t>(CSSR-(PH 11 S o R 5 )2018-19)</t>
  </si>
  <si>
    <t>(CSSR-PH 5 S o R 1-I-18-19)</t>
  </si>
  <si>
    <t>(CSSR-PH 3 S o R 1-I-18-19)</t>
  </si>
  <si>
    <t>Upto 5KMS=25.03</t>
  </si>
  <si>
    <t>15KMS=15*1.87=28.05 (=25.03+28.05)</t>
  </si>
  <si>
    <t>(CSSR-PH 7 S o R 1-I-18-19)</t>
  </si>
  <si>
    <t>(CSSR-PH 11 S o R a-I-18-19)</t>
  </si>
  <si>
    <t>225mm Dia (CSSR-PH-16-1(b)-2018-19)</t>
  </si>
  <si>
    <t>(CSSR-PH-16 S o R-1(b)-2018-19)</t>
  </si>
  <si>
    <t>(CSSR-PH-16 S o R-1(e)-2018-19)</t>
  </si>
  <si>
    <t>225mm Dia (CSSR-PH-16-1(e)-2018-19)</t>
  </si>
  <si>
    <t>Basic Rate (as per CSSR-PH-26-2-2018-19)</t>
  </si>
  <si>
    <t>(CSSR-PH-26 S o R 2-2018-19)</t>
  </si>
  <si>
    <t>(CSSR-PH-27 S o R 2-2018-19)</t>
  </si>
  <si>
    <t>Basic Rate (as per CSSR-PH-27-2-2018-19)</t>
  </si>
  <si>
    <t>CSSR-ELEC-4.9.1.I-2018-19</t>
  </si>
  <si>
    <t>Basic Rate (CSSR-ELEC-4.9.1.I-2018-19)</t>
  </si>
  <si>
    <t>Supply and fixing M.D -10 with 500mm dia clear opening C.I. Manhole frame and cover for 914.4 mm dia chamber (20 Kg- light weight) in the roof of the Sump as shown in the detail drawing with a clear opening of 760 mm dia including cost and conveyance of all materials to site, all labour charges, complete as directed by Engineer-in-Charge for finished item work, except GST.</t>
  </si>
  <si>
    <t>(CSSR-(PH-28 S o R 1 I-a)-2018-19)</t>
  </si>
  <si>
    <t>Sluice Valve Chambers (CSSR-(PH-28-1 I-a)-2018-19)</t>
  </si>
  <si>
    <t>Basic Rate (CSSR-PH-TBSC-E.1-01-2018-19)</t>
  </si>
  <si>
    <t xml:space="preserve"> (CSSR-PH-TBSC-E.1-01-2018-19)</t>
  </si>
  <si>
    <t>CSSR-Building items 2018-19</t>
  </si>
  <si>
    <t>Electric motor 20HP Double Shaft (CSSR-MRC-2-2018-19)</t>
  </si>
  <si>
    <t>(CSSR-MRC-2-2018-19)</t>
  </si>
  <si>
    <t>Refilliing foundations and basement with useful excavated soils (other than black cotton soils and other expensive soils) including all labour charges for filling spreading in layers of 15 cm thickness watering breaking clods ramming etc., excluding GST , Complete for finished item of work</t>
  </si>
  <si>
    <t>Unit=1Cum, Output=6Cum</t>
  </si>
  <si>
    <t>Non Labour</t>
  </si>
  <si>
    <t>Add 13.615% Overhead charges &amp; Contract Profit</t>
  </si>
  <si>
    <t>Rate for 6 Cum</t>
  </si>
  <si>
    <t>Rate for 1 Cum</t>
  </si>
  <si>
    <t>RR masonry in CM (1:6) using hard granite stone from approved quarry including cost and conveyance, seigniorage of all materials, water, all labour charges for dressing stones to required size and shape mixing of cement mortar, wall construction,scaffolding charges, etc., excluding GST, Complete for finished item of work</t>
  </si>
  <si>
    <t>Unit = 1Cum, Output=1Cum</t>
  </si>
  <si>
    <t>Sand for Morter</t>
  </si>
  <si>
    <t>RR Stone Granite</t>
  </si>
  <si>
    <t>CR Stone Granite</t>
  </si>
  <si>
    <t>Bond stones 7 No's-(600x200x200)</t>
  </si>
  <si>
    <t>Rate per 1Cum</t>
  </si>
  <si>
    <t>Cement OPC (43/53grd)</t>
  </si>
  <si>
    <t>Labour for laying Sluice Valve with cap , with hand wheel &amp; reflex valve (242.4+257+300)/3=266.46</t>
  </si>
  <si>
    <t>400mm dia pipe</t>
  </si>
  <si>
    <t>1*4</t>
  </si>
  <si>
    <t>A)150mm Dia and 18mm thick (CSSR-(PH 11-5 )2018-19)</t>
  </si>
  <si>
    <t>150mm Dia M.S Flanges</t>
  </si>
  <si>
    <t>250mm Dia M.S Flanges</t>
  </si>
  <si>
    <t>B)250mm Dia and 18mm thick (CSSR-(PH 11-5 )2018-19)</t>
  </si>
  <si>
    <t>C)400mm Dia and 18mm thick (CSSR-(PH 11-5 )2018-19)</t>
  </si>
  <si>
    <t>150mm Dia</t>
  </si>
  <si>
    <t>250mm Dia</t>
  </si>
  <si>
    <t>Supplimentary Items in Sump</t>
  </si>
  <si>
    <t>Supply and fixing M.D -10 with 560mm dia clear opening C.I. Manhole frame and cover for 914.4 mm dia chamber (20 Kg- light weight) in the roof of the Sump as shown in the detail drawing with a clear opening of 760 mm dia including cost and conveyance of all materials to site, all labour charges, complete as directed by Engineer-in-Charge for finished item work, except GST.</t>
  </si>
  <si>
    <t xml:space="preserve">For Sluice Valve </t>
  </si>
  <si>
    <t>1NO</t>
  </si>
  <si>
    <t>A)RCC slab Roof and Bottom</t>
  </si>
  <si>
    <t>Supplying &amp; Fixing white glazed flat back half stall urinals 1st quality conforming to IS:2556-1995 with standard C.P. Spreader fixed with screws complete Indian make : 590 x 375 x 390 mm</t>
  </si>
  <si>
    <t>Basic Rate  As per TBSP-E.VII-03 S</t>
  </si>
  <si>
    <t>/Each</t>
  </si>
  <si>
    <t>Supply and fixing air vessel made of 250 mm dia, 8 mm thick MS sheet, 1200mm in height with air release valve on top and flanged connection to riser, drain arrangement with 25mm dia Gun metal wheel valve, with required accessories, pressure gauge and painting with synthetic enamel paint of approved shade as required.</t>
  </si>
  <si>
    <t>Basic Rate (CSSR-ELEC-10.7.32-2018-19)</t>
  </si>
  <si>
    <t>110 mm dia HDPE 6Kg/Cm2 pipe                                                             AB</t>
  </si>
  <si>
    <t>140mm dia HDPE 6Kg/Cm2 pipe                                                                                                      AB</t>
  </si>
  <si>
    <t>250mm dia Sluice Valves                                                                     AB</t>
  </si>
  <si>
    <t>250mm dia PN,16 CLASS                                                                     AB</t>
  </si>
  <si>
    <r>
      <rPr>
        <sz val="9"/>
        <color rgb="FFFF0000"/>
        <rFont val="Arial Unicode MS"/>
        <family val="2"/>
      </rPr>
      <t>Earth work excavation</t>
    </r>
    <r>
      <rPr>
        <sz val="9"/>
        <rFont val="Arial Unicode MS"/>
        <family val="2"/>
      </rPr>
      <t xml:space="preserve">  by Mechanical means for Sump/OHT/Pump Room &amp; Pipe Line trenches and depositing on bank in all types of soils like morum, red earth, gravely soils----</t>
    </r>
  </si>
  <si>
    <r>
      <rPr>
        <sz val="9"/>
        <color rgb="FFFF0000"/>
        <rFont val="Arial Unicode MS"/>
        <family val="2"/>
      </rPr>
      <t>Plain Cement Concrete (1:4:8) prop</t>
    </r>
    <r>
      <rPr>
        <sz val="9"/>
        <rFont val="Arial Unicode MS"/>
        <family val="2"/>
      </rPr>
      <t>.using 40mm nominal size well graded hard broken granite metal ----</t>
    </r>
  </si>
  <si>
    <r>
      <rPr>
        <sz val="9"/>
        <color rgb="FFFF0000"/>
        <rFont val="Arial Unicode MS"/>
        <family val="2"/>
      </rPr>
      <t>Providing and laying of Vibrated Reinforced Cement Concrete corresponding to M-30 grade</t>
    </r>
    <r>
      <rPr>
        <sz val="9"/>
        <rFont val="Arial Unicode MS"/>
        <family val="2"/>
      </rPr>
      <t xml:space="preserve"> Design Mix Concrete corresponding to IS 456 using weigh batcher with 20mm ---</t>
    </r>
  </si>
  <si>
    <r>
      <rPr>
        <sz val="9"/>
        <color rgb="FFFF0000"/>
        <rFont val="Arial Unicode MS"/>
        <family val="2"/>
      </rPr>
      <t>Providing and laying of Vibrated Reinforced Cement Concrete corresponding to M-30 grade</t>
    </r>
    <r>
      <rPr>
        <sz val="9"/>
        <rFont val="Arial Unicode MS"/>
        <family val="2"/>
      </rPr>
      <t xml:space="preserve"> Design Mix Concrete corresponding to IS 456 using weigh batcher with 20mm size ----</t>
    </r>
  </si>
  <si>
    <r>
      <rPr>
        <sz val="9"/>
        <color rgb="FFFF0000"/>
        <rFont val="Arial Unicode MS"/>
        <family val="2"/>
      </rPr>
      <t>Centering and scaffolding charges for RCC members</t>
    </r>
    <r>
      <rPr>
        <sz val="9"/>
        <rFont val="Arial Unicode MS"/>
        <family val="2"/>
      </rPr>
      <t xml:space="preserve"> including all materials and labour charges for forming and removing etc., complete as directed by Engineer-in-Charge for finished item of work. except GST. </t>
    </r>
  </si>
  <si>
    <r>
      <rPr>
        <sz val="9"/>
        <color rgb="FFFF0000"/>
        <rFont val="Arial Unicode MS"/>
        <family val="2"/>
      </rPr>
      <t xml:space="preserve">RCC vertical walls of circular faces </t>
    </r>
    <r>
      <rPr>
        <sz val="9"/>
        <rFont val="Arial Unicode MS"/>
        <family val="2"/>
      </rPr>
      <t xml:space="preserve">including both sides of wall per Sqm of member area:                                                                                                 </t>
    </r>
  </si>
  <si>
    <r>
      <rPr>
        <sz val="9"/>
        <color rgb="FFFF0000"/>
        <rFont val="Arial Unicode MS"/>
        <family val="2"/>
      </rPr>
      <t>Providing High Yield Strength Deformed (HYSD)/</t>
    </r>
    <r>
      <rPr>
        <sz val="9"/>
        <rFont val="Arial Unicode MS"/>
        <family val="2"/>
      </rPr>
      <t xml:space="preserve"> Thermo Mechanically Treated (TMT) steel bars  (Fe 415 grade as per IS 1786-1979)  ----</t>
    </r>
  </si>
  <si>
    <r>
      <rPr>
        <sz val="9"/>
        <color rgb="FFFF0000"/>
        <rFont val="Arial Unicode MS"/>
        <family val="2"/>
      </rPr>
      <t>Supplying Providing and fixing in position  of  RCC  M-30 grade  ladder</t>
    </r>
    <r>
      <rPr>
        <sz val="9"/>
        <rFont val="Arial Unicode MS"/>
        <family val="2"/>
      </rPr>
      <t xml:space="preserve"> of 4.5 M length with 0.45 M wide steps in C C M30 grade ----</t>
    </r>
  </si>
  <si>
    <r>
      <rPr>
        <sz val="9"/>
        <color rgb="FFFF0000"/>
        <rFont val="Arial Unicode MS"/>
        <family val="2"/>
      </rPr>
      <t>Supply and fixing H.D -20 with 560mm dia clear opening C.I. Manhole frame and cover for 914.4 mm dia chamber</t>
    </r>
    <r>
      <rPr>
        <sz val="9"/>
        <rFont val="Arial Unicode MS"/>
        <family val="2"/>
      </rPr>
      <t xml:space="preserve"> (20 Kg- light weight) in the roof of the Sump as shown ---</t>
    </r>
  </si>
  <si>
    <r>
      <rPr>
        <sz val="9"/>
        <color rgb="FFFF0000"/>
        <rFont val="Arial Unicode MS"/>
        <family val="2"/>
      </rPr>
      <t>Supplying, Providing and fixing in position  of 6"(150mm) dia  R C C (1:1.5 :3 ) prop Swan neck Ventilators</t>
    </r>
    <r>
      <rPr>
        <sz val="9"/>
        <rFont val="Arial Unicode MS"/>
        <family val="2"/>
      </rPr>
      <t xml:space="preserve"> with mosquito proof ----</t>
    </r>
  </si>
  <si>
    <r>
      <rPr>
        <sz val="9"/>
        <color rgb="FFFF0000"/>
        <rFont val="Arial Unicode MS"/>
        <family val="2"/>
      </rPr>
      <t>Re filling foundation</t>
    </r>
    <r>
      <rPr>
        <sz val="9"/>
        <rFont val="Arial Unicode MS"/>
        <family val="2"/>
      </rPr>
      <t>/ basement /pipe line trenches  with useful excavated soils (other than black cotton soils ------</t>
    </r>
  </si>
  <si>
    <r>
      <rPr>
        <sz val="9"/>
        <color rgb="FFFF0000"/>
        <rFont val="Arial Unicode MS"/>
        <family val="2"/>
      </rPr>
      <t xml:space="preserve">Supply and delivery of DI D/F Gate Valves </t>
    </r>
    <r>
      <rPr>
        <sz val="9"/>
        <rFont val="Arial Unicode MS"/>
        <family val="2"/>
      </rPr>
      <t>(Soft Seated) Resilient seated soft, sealing gate valves (Sluice valves) with body bonnet of ductile cast iron of grade ----</t>
    </r>
  </si>
  <si>
    <r>
      <rPr>
        <sz val="9"/>
        <color rgb="FFFF0000"/>
        <rFont val="Arial Unicode MS"/>
        <family val="2"/>
      </rPr>
      <t>Lowering, keeping in position and fixing C.I. sluice valves</t>
    </r>
    <r>
      <rPr>
        <sz val="9"/>
        <rFont val="Arial Unicode MS"/>
        <family val="2"/>
      </rPr>
      <t xml:space="preserve"> (with cap / with hand wheel &amp; reflex valves) ----- </t>
    </r>
  </si>
  <si>
    <r>
      <rPr>
        <sz val="9"/>
        <color rgb="FFFF0000"/>
        <rFont val="Arial Unicode MS"/>
        <family val="2"/>
      </rPr>
      <t>Jointing CI pipes, fittings and valves</t>
    </r>
    <r>
      <rPr>
        <sz val="9"/>
        <rFont val="Arial Unicode MS"/>
        <family val="2"/>
      </rPr>
      <t xml:space="preserve"> with flanged ends including cost of jointing materials-------.</t>
    </r>
  </si>
  <si>
    <r>
      <rPr>
        <sz val="9"/>
        <color rgb="FFFF0000"/>
        <rFont val="Arial Unicode MS"/>
        <family val="2"/>
      </rPr>
      <t>Constructing 904.0 mm (3’0”) dia solid block masonry inspection chamber</t>
    </r>
    <r>
      <rPr>
        <sz val="9"/>
        <rFont val="Arial Unicode MS"/>
        <family val="2"/>
      </rPr>
      <t xml:space="preserve"> as per IS - 4111: Part-1:1986 with cement mortar (1:6) prop using fly-ash blocks of 225 mm thick ----</t>
    </r>
  </si>
  <si>
    <r>
      <rPr>
        <sz val="9"/>
        <color rgb="FFFF0000"/>
        <rFont val="Arial Unicode MS"/>
        <family val="2"/>
      </rPr>
      <t>Providing impervious / weather proof coarse over</t>
    </r>
    <r>
      <rPr>
        <sz val="9"/>
        <rFont val="Arial Unicode MS"/>
        <family val="2"/>
      </rPr>
      <t xml:space="preserve"> RCC roof slabs with CM (1:3) with an average thickness of 20mm thick----</t>
    </r>
  </si>
  <si>
    <r>
      <rPr>
        <sz val="9"/>
        <color rgb="FFFF0000"/>
        <rFont val="Arial Unicode MS"/>
        <family val="2"/>
      </rPr>
      <t>Testing of 1.0 Lakh Gallons capacity Sump/</t>
    </r>
    <r>
      <rPr>
        <sz val="9"/>
        <rFont val="Arial Unicode MS"/>
        <family val="2"/>
      </rPr>
      <t>OHT for water tightness as indicated in the special conditions including cost of water ----</t>
    </r>
  </si>
  <si>
    <r>
      <rPr>
        <sz val="9"/>
        <color rgb="FFFF0000"/>
        <rFont val="Arial Unicode MS"/>
        <family val="2"/>
      </rPr>
      <t>Earth work excavation  by Mechanical means for Sump</t>
    </r>
    <r>
      <rPr>
        <sz val="9"/>
        <color theme="1"/>
        <rFont val="Arial Unicode MS"/>
        <family val="2"/>
      </rPr>
      <t>/OHT/Pump Room &amp; Pipe Line trenches and depositing on bank in all types of soils -----</t>
    </r>
  </si>
  <si>
    <r>
      <rPr>
        <sz val="9"/>
        <color rgb="FFFF0000"/>
        <rFont val="Arial Unicode MS"/>
        <family val="2"/>
      </rPr>
      <t>Plain Cement Concrete (1:3:6) Prop</t>
    </r>
    <r>
      <rPr>
        <sz val="9"/>
        <color theme="1"/>
        <rFont val="Arial Unicode MS"/>
        <family val="2"/>
      </rPr>
      <t xml:space="preserve">. nominal mix using 6 to 20 mm nominal size (SS5) well graded machine crushed hard granite metal ----- </t>
    </r>
  </si>
  <si>
    <r>
      <rPr>
        <sz val="9"/>
        <color rgb="FFFF0000"/>
        <rFont val="Arial Unicode MS"/>
        <family val="2"/>
      </rPr>
      <t>Providing and laying of Vibrated Reinforced Cement Concrete corresponding to M-30</t>
    </r>
    <r>
      <rPr>
        <sz val="9"/>
        <color theme="1"/>
        <rFont val="Arial Unicode MS"/>
        <family val="2"/>
      </rPr>
      <t xml:space="preserve"> grade Design Mix Concrete corresponding to IS 456 using weigh batcher with 20mm size ---</t>
    </r>
  </si>
  <si>
    <r>
      <rPr>
        <sz val="9"/>
        <color rgb="FFFF0000"/>
        <rFont val="Arial Unicode MS"/>
        <family val="2"/>
      </rPr>
      <t>Providing and laying of Vibrated Reinforced Cement Concrete corresponding to M-30</t>
    </r>
    <r>
      <rPr>
        <sz val="9"/>
        <color theme="1"/>
        <rFont val="Arial Unicode MS"/>
        <family val="2"/>
      </rPr>
      <t xml:space="preserve"> grade Design Mix Concrete corresponding to IS 456 using weigh batcher ----  </t>
    </r>
  </si>
  <si>
    <r>
      <rPr>
        <sz val="9"/>
        <color rgb="FFFF0000"/>
        <rFont val="Arial Unicode MS"/>
        <family val="2"/>
      </rPr>
      <t xml:space="preserve">Centring and scaffolding charges for side wall </t>
    </r>
    <r>
      <rPr>
        <sz val="9"/>
        <color theme="1"/>
        <rFont val="Arial Unicode MS"/>
        <family val="2"/>
      </rPr>
      <t>of Sump including all materials and labour charges for forming and removing etc.---</t>
    </r>
  </si>
  <si>
    <r>
      <rPr>
        <sz val="9"/>
        <color rgb="FFFF0000"/>
        <rFont val="Arial Unicode MS"/>
        <family val="2"/>
      </rPr>
      <t>Providing High Yield Strength Deformed</t>
    </r>
    <r>
      <rPr>
        <sz val="9"/>
        <color theme="1"/>
        <rFont val="Arial Unicode MS"/>
        <family val="2"/>
      </rPr>
      <t xml:space="preserve"> (HYSD)/ Thermo Mechanically Treated (TMT) steel bars  (Fe 415 grade as per IS 1786-1979)  upto 36mm dia for RCC ---</t>
    </r>
  </si>
  <si>
    <r>
      <rPr>
        <sz val="9"/>
        <color rgb="FFFF0000"/>
        <rFont val="Arial Unicode MS"/>
        <family val="2"/>
      </rPr>
      <t>Supply and fixing PVC Water bars (stopper)</t>
    </r>
    <r>
      <rPr>
        <sz val="9"/>
        <color theme="1"/>
        <rFont val="Arial Unicode MS"/>
        <family val="2"/>
      </rPr>
      <t xml:space="preserve"> in position of ISI specification of 310 mm width including cost and conveyance to work site,---</t>
    </r>
  </si>
  <si>
    <r>
      <rPr>
        <sz val="9"/>
        <color rgb="FFFF0000"/>
        <rFont val="Arial Unicode MS"/>
        <family val="2"/>
      </rPr>
      <t>Providing impervious / weather proof coarse</t>
    </r>
    <r>
      <rPr>
        <sz val="9"/>
        <color theme="1"/>
        <rFont val="Arial Unicode MS"/>
        <family val="2"/>
      </rPr>
      <t xml:space="preserve"> over RCC roof slabs with CM (1:3) with an average thickness of 20mm thick, premixed with water proofing compound ----</t>
    </r>
  </si>
  <si>
    <r>
      <rPr>
        <sz val="9"/>
        <color rgb="FFFF0000"/>
        <rFont val="Arial Unicode MS"/>
        <family val="2"/>
      </rPr>
      <t>Re filling foundation</t>
    </r>
    <r>
      <rPr>
        <sz val="9"/>
        <color theme="1"/>
        <rFont val="Arial Unicode MS"/>
        <family val="2"/>
      </rPr>
      <t xml:space="preserve">/ basement /pipe line trenches  with useful excavated soils (other than black cotton soils and other expansive soils) ----   </t>
    </r>
  </si>
  <si>
    <r>
      <rPr>
        <sz val="9"/>
        <color rgb="FFFF0000"/>
        <rFont val="Arial Unicode MS"/>
        <family val="2"/>
      </rPr>
      <t xml:space="preserve">Supply and delivery of DI D/F Gate Valves </t>
    </r>
    <r>
      <rPr>
        <sz val="9"/>
        <color theme="1"/>
        <rFont val="Arial Unicode MS"/>
        <family val="2"/>
      </rPr>
      <t>(Soft Seated) Resilient seated soft, sealing gate valves (Sluice valves) with body bonnet of ductile cast iron of grade GGG-40/ SG-400/15 or GGG-50/SG-500/7 ---</t>
    </r>
  </si>
  <si>
    <r>
      <rPr>
        <sz val="9"/>
        <color rgb="FFFF0000"/>
        <rFont val="Arial Unicode MS"/>
        <family val="2"/>
      </rPr>
      <t>Lowering, keeping in position and fixing C.I. sluice valves</t>
    </r>
    <r>
      <rPr>
        <sz val="9"/>
        <color theme="1"/>
        <rFont val="Arial Unicode MS"/>
        <family val="2"/>
      </rPr>
      <t xml:space="preserve"> (with cap / with hand wheel &amp; reflex valves) excluding cost of bolts, nuts, rubber insertion, sluice valve ----</t>
    </r>
  </si>
  <si>
    <r>
      <rPr>
        <sz val="9"/>
        <color rgb="FFFF0000"/>
        <rFont val="Arial Unicode MS"/>
        <family val="2"/>
      </rPr>
      <t>Jointing CI pipes, fittings and valves</t>
    </r>
    <r>
      <rPr>
        <sz val="9"/>
        <color theme="1"/>
        <rFont val="Arial Unicode MS"/>
        <family val="2"/>
      </rPr>
      <t xml:space="preserve"> with flanged ends including cost of jointing materials such as bolts, rubber insertion, ----</t>
    </r>
  </si>
  <si>
    <r>
      <rPr>
        <sz val="9"/>
        <color rgb="FFFF0000"/>
        <rFont val="Arial Unicode MS"/>
        <family val="2"/>
      </rPr>
      <t>Constructing 904.0 mm (3’0”) dia solid block masonry inspection chamber</t>
    </r>
    <r>
      <rPr>
        <sz val="9"/>
        <color theme="1"/>
        <rFont val="Arial Unicode MS"/>
        <family val="2"/>
      </rPr>
      <t xml:space="preserve"> as per IS - 4111: Part-1:1986 with cement mortar (1:6) prop using fly-ash blocks of 225 mm thick from approved source --- </t>
    </r>
  </si>
  <si>
    <r>
      <rPr>
        <sz val="9"/>
        <color rgb="FFFF0000"/>
        <rFont val="Arial Unicode MS"/>
        <family val="2"/>
      </rPr>
      <t>Supply and fixing H.D -20 with 560mm dia clear opening C.I. Manhole frame</t>
    </r>
    <r>
      <rPr>
        <sz val="9"/>
        <color theme="1"/>
        <rFont val="Arial Unicode MS"/>
        <family val="2"/>
      </rPr>
      <t xml:space="preserve"> and cover for 914.4 mm dia chamber (20 Kg- light weight) in the roof of the Sump</t>
    </r>
  </si>
  <si>
    <r>
      <rPr>
        <sz val="9"/>
        <color rgb="FFFF0000"/>
        <rFont val="Arial Unicode MS"/>
        <family val="2"/>
      </rPr>
      <t xml:space="preserve">Supplying, Providing and fixing in position  of 6"(150mm) dia  R C C (1:1.5 :3 ) prop Swan neck Ventilators </t>
    </r>
    <r>
      <rPr>
        <sz val="9"/>
        <color theme="1"/>
        <rFont val="Arial Unicode MS"/>
        <family val="2"/>
      </rPr>
      <t>with mosquito proof alluminium mesh for both ends to be provided in the roof slab of Sump ---</t>
    </r>
  </si>
  <si>
    <r>
      <rPr>
        <sz val="9"/>
        <color rgb="FFFF0000"/>
        <rFont val="Arial Unicode MS"/>
        <family val="2"/>
      </rPr>
      <t>Supplying Providing and fixing in position  of  RCC M-30 grade  ladder</t>
    </r>
    <r>
      <rPr>
        <sz val="9"/>
        <color theme="1"/>
        <rFont val="Arial Unicode MS"/>
        <family val="2"/>
      </rPr>
      <t xml:space="preserve"> of 5.00 M length with 0.45 M wide steps in RCC M30 grade as per the details for giving the access in to the Sump----</t>
    </r>
  </si>
  <si>
    <r>
      <rPr>
        <sz val="9"/>
        <color rgb="FFFF0000"/>
        <rFont val="Arial Unicode MS"/>
        <family val="2"/>
      </rPr>
      <t>Testing of 1.0 Lakh Gallons capacity Sump</t>
    </r>
    <r>
      <rPr>
        <sz val="9"/>
        <color theme="1"/>
        <rFont val="Arial Unicode MS"/>
        <family val="2"/>
      </rPr>
      <t>/OHT for water tightness as indicated in the special conditions including cost of water required for filling to total capacity,----</t>
    </r>
  </si>
  <si>
    <r>
      <rPr>
        <sz val="9"/>
        <color rgb="FFFF0000"/>
        <rFont val="Arial Unicode MS"/>
        <family val="2"/>
      </rPr>
      <t xml:space="preserve">Cutting open BT road surface </t>
    </r>
    <r>
      <rPr>
        <sz val="9"/>
        <color theme="1"/>
        <rFont val="Arial Unicode MS"/>
        <family val="2"/>
      </rPr>
      <t>for laying of pipelines including stacking of excavated materials for pipeline trench work. ----</t>
    </r>
  </si>
  <si>
    <r>
      <rPr>
        <sz val="9"/>
        <color rgb="FFFF0000"/>
        <rFont val="Arial Unicode MS"/>
        <family val="2"/>
      </rPr>
      <t>Earth work excavation by Mechanical Means</t>
    </r>
    <r>
      <rPr>
        <sz val="9"/>
        <color theme="1"/>
        <rFont val="Arial Unicode MS"/>
        <family val="2"/>
      </rPr>
      <t xml:space="preserve"> upto 3 mt depth for pipe Line tranches and depositing on bank in all types of soils like morum,red earth,gravely soils,-----</t>
    </r>
  </si>
  <si>
    <r>
      <rPr>
        <sz val="9"/>
        <color rgb="FFFF0000"/>
        <rFont val="Arial Unicode MS"/>
        <family val="2"/>
      </rPr>
      <t>Earth work excavation by Mechanical Means</t>
    </r>
    <r>
      <rPr>
        <sz val="9"/>
        <color theme="1"/>
        <rFont val="Arial Unicode MS"/>
        <family val="2"/>
      </rPr>
      <t xml:space="preserve"> upto 3 mt (Not requiring blasting) depth for pipe Line tranches and depositing on bank in all types of soils like morum-----</t>
    </r>
  </si>
  <si>
    <r>
      <rPr>
        <sz val="9"/>
        <color rgb="FFFF0000"/>
        <rFont val="Arial Unicode MS"/>
        <family val="2"/>
      </rPr>
      <t xml:space="preserve">Earth work excavation by Manual Means </t>
    </r>
    <r>
      <rPr>
        <sz val="9"/>
        <color theme="1"/>
        <rFont val="Arial Unicode MS"/>
        <family val="2"/>
      </rPr>
      <t>upto 3 mt depth for pipe Line tranches and depositing on bank in all types of soils like morum,red earth,gravely soils,----</t>
    </r>
  </si>
  <si>
    <r>
      <rPr>
        <sz val="9"/>
        <color rgb="FFFF0000"/>
        <rFont val="Arial Unicode MS"/>
        <family val="2"/>
      </rPr>
      <t>Earth work excavation by Mechanical Means upto 3 mt depth (Blasting prohibited</t>
    </r>
    <r>
      <rPr>
        <sz val="9"/>
        <color theme="1"/>
        <rFont val="Arial Unicode MS"/>
        <family val="2"/>
      </rPr>
      <t>) for pipe Line tranches and depositing on bank in all types of soils like morum,red earth,-----</t>
    </r>
  </si>
  <si>
    <r>
      <rPr>
        <sz val="9"/>
        <color rgb="FFFF0000"/>
        <rFont val="Arial Unicode MS"/>
        <family val="2"/>
      </rPr>
      <t>Barricading, hoarding,lighting</t>
    </r>
    <r>
      <rPr>
        <sz val="9"/>
        <color theme="1"/>
        <rFont val="Arial Unicode MS"/>
        <family val="2"/>
      </rPr>
      <t xml:space="preserve"> and watching etc., for water supply works for trenches of depths upto 6'-0'' "(2 Meter) ---</t>
    </r>
  </si>
  <si>
    <r>
      <rPr>
        <sz val="9"/>
        <color rgb="FFFF0000"/>
        <rFont val="Arial Unicode MS"/>
        <family val="2"/>
      </rPr>
      <t>Supply and filling with quarry dust</t>
    </r>
    <r>
      <rPr>
        <sz val="9"/>
        <color theme="1"/>
        <rFont val="Arial Unicode MS"/>
        <family val="2"/>
      </rPr>
      <t xml:space="preserve"> in pipeline network from approved qurry as shown in the approved drawing etc-----</t>
    </r>
  </si>
  <si>
    <r>
      <rPr>
        <sz val="9"/>
        <color rgb="FFFF0000"/>
        <rFont val="Arial Unicode MS"/>
        <family val="2"/>
      </rPr>
      <t>Supply and laying in position polythylene pipes</t>
    </r>
    <r>
      <rPr>
        <sz val="9"/>
        <color theme="1"/>
        <rFont val="Arial Unicode MS"/>
        <family val="2"/>
      </rPr>
      <t xml:space="preserve"> as per IS 4984,PE100 PN6 Including cost and conveyance, of all material to work site, laying and jointing of HDPE pipes</t>
    </r>
  </si>
  <si>
    <r>
      <rPr>
        <sz val="9"/>
        <color rgb="FFFF0000"/>
        <rFont val="Arial Unicode MS"/>
        <family val="2"/>
      </rPr>
      <t xml:space="preserve">Supply and Delivery of HDPE Fitting </t>
    </r>
    <r>
      <rPr>
        <sz val="9"/>
        <color theme="1"/>
        <rFont val="Arial Unicode MS"/>
        <family val="2"/>
      </rPr>
      <t>conforming to IS 4984-1995 Including cost and conveyance of all materials to work site.----</t>
    </r>
  </si>
  <si>
    <r>
      <rPr>
        <sz val="9"/>
        <color rgb="FFFF0000"/>
        <rFont val="Arial Unicode MS"/>
        <family val="2"/>
      </rPr>
      <t>Supply and delivery of DI D/F Gate Valves</t>
    </r>
    <r>
      <rPr>
        <sz val="9"/>
        <color theme="1"/>
        <rFont val="Arial Unicode MS"/>
        <family val="2"/>
      </rPr>
      <t xml:space="preserve"> )Soft Seated) Resilient seated soft, sealing gate valves (Sluice Valves) with body bonnet of ductile cast iron of grade GGG-40/ SG-400/15 or GGG-50/SG-500/7 ----</t>
    </r>
  </si>
  <si>
    <r>
      <rPr>
        <sz val="9"/>
        <color rgb="FFFF0000"/>
        <rFont val="Arial Unicode MS"/>
        <family val="2"/>
      </rPr>
      <t>Lowering, keeping in position and fixing C.I Sluice valves</t>
    </r>
    <r>
      <rPr>
        <sz val="9"/>
        <color theme="1"/>
        <rFont val="Arial Unicode MS"/>
        <family val="2"/>
      </rPr>
      <t xml:space="preserve"> (with cap/ with hand wheel &amp; reflex valves) excluding cost of bolts,nuts,rubber insertion,sluice valve ----</t>
    </r>
  </si>
  <si>
    <r>
      <rPr>
        <sz val="9"/>
        <color rgb="FFFF0000"/>
        <rFont val="Arial Unicode MS"/>
        <family val="2"/>
      </rPr>
      <t xml:space="preserve">Constructing 904.0mm (3'0'')dia solid block masonry inspection chamber </t>
    </r>
    <r>
      <rPr>
        <sz val="9"/>
        <color theme="1"/>
        <rFont val="Arial Unicode MS"/>
        <family val="2"/>
      </rPr>
      <t>as per IS -4111:PART-I:1986 with cement mortar (1:6) prop using fly-ash blocks of 225mm thick from approved source having a minimum crushing strength of 10N/sq.mm -----</t>
    </r>
  </si>
  <si>
    <r>
      <rPr>
        <sz val="9"/>
        <color rgb="FFFF0000"/>
        <rFont val="Arial Unicode MS"/>
        <family val="2"/>
      </rPr>
      <t>Jointing CI Pipes,fittings and valves</t>
    </r>
    <r>
      <rPr>
        <sz val="9"/>
        <color theme="1"/>
        <rFont val="Arial Unicode MS"/>
        <family val="2"/>
      </rPr>
      <t xml:space="preserve"> with flanged ends including cost of jointing materials such as bolts,rubber insertion,white lead including filling with water,with lead upto 500meter-----</t>
    </r>
  </si>
  <si>
    <r>
      <rPr>
        <sz val="9"/>
        <color rgb="FFFF0000"/>
        <rFont val="Arial Unicode MS"/>
        <family val="2"/>
      </rPr>
      <t>Manifacture,Supply and delivery of Single Chmaber DI Air Valve</t>
    </r>
    <r>
      <rPr>
        <sz val="9"/>
        <color theme="1"/>
        <rFont val="Arial Unicode MS"/>
        <family val="2"/>
      </rPr>
      <t xml:space="preserve"> with body and cover in Ductile iron of Grade GGG-40/ SG-400/15 or GGG-50/SG-500/7 or equivalent grade as per I.S.3896-Part2-1985 ------</t>
    </r>
  </si>
  <si>
    <r>
      <rPr>
        <sz val="9"/>
        <color rgb="FFFF0000"/>
        <rFont val="Arial Unicode MS"/>
        <family val="2"/>
      </rPr>
      <t xml:space="preserve">Labour charges for fixing Kinetic Air Valves </t>
    </r>
    <r>
      <rPr>
        <sz val="9"/>
        <color theme="1"/>
        <rFont val="Arial Unicode MS"/>
        <family val="2"/>
      </rPr>
      <t>with isolating Sluice valves, Double Air Valves/Air cushion valve excluding cost of jointing material such as bolts,nuts,and rubber insertions, -----</t>
    </r>
  </si>
  <si>
    <r>
      <rPr>
        <sz val="9"/>
        <color rgb="FFFF0000"/>
        <rFont val="Arial Unicode MS"/>
        <family val="2"/>
      </rPr>
      <t>Constructing 904.0mm (3'0'')dia solid block masonry inspection chamber</t>
    </r>
    <r>
      <rPr>
        <sz val="9"/>
        <color theme="1"/>
        <rFont val="Arial Unicode MS"/>
        <family val="2"/>
      </rPr>
      <t xml:space="preserve"> as per IS -4111:PART-I:1986 with cement mortar (1:6) prop using fly-ash blocks of 225mm thick from approved source having a minimum crushing strength of 10N/sq.mm including plastering with cement mortor 1:3 prop-----</t>
    </r>
  </si>
  <si>
    <t xml:space="preserve">Grand total </t>
  </si>
  <si>
    <t>As Per Execution</t>
  </si>
  <si>
    <t>As Per Agreement</t>
  </si>
  <si>
    <t xml:space="preserve">Difference in Agreement and Execution </t>
  </si>
  <si>
    <t xml:space="preserve">Estimate Amount </t>
  </si>
  <si>
    <t>Project Engineer</t>
  </si>
  <si>
    <t>Dy Zonal manager(E)</t>
  </si>
  <si>
    <t>Zonal manager</t>
  </si>
  <si>
    <t>TSIIC Ltd, Shamshabad Zone</t>
  </si>
  <si>
    <t>Including All Authorized extras &amp; Supplimental items</t>
  </si>
  <si>
    <t>As Per execution</t>
  </si>
  <si>
    <t>Work Slip</t>
  </si>
  <si>
    <r>
      <t>Mason 1</t>
    </r>
    <r>
      <rPr>
        <vertAlign val="superscript"/>
        <sz val="12"/>
        <rFont val="Cambria"/>
        <family val="1"/>
      </rPr>
      <t>st</t>
    </r>
    <r>
      <rPr>
        <sz val="12"/>
        <rFont val="Cambria"/>
        <family val="1"/>
      </rPr>
      <t xml:space="preserve"> Class</t>
    </r>
  </si>
  <si>
    <t>FINANCIAL IMPLICATION STATEMENT</t>
  </si>
</sst>
</file>

<file path=xl/styles.xml><?xml version="1.0" encoding="utf-8"?>
<styleSheet xmlns="http://schemas.openxmlformats.org/spreadsheetml/2006/main">
  <numFmts count="28">
    <numFmt numFmtId="43" formatCode="_ * #,##0.00_ ;_ * \-#,##0.00_ ;_ * &quot;-&quot;??_ ;_ @_ "/>
    <numFmt numFmtId="164" formatCode="_(* #,##0.00_);_(* \(#,##0.00\);_(* &quot;-&quot;??_);_(@_)"/>
    <numFmt numFmtId="165" formatCode="0.000"/>
    <numFmt numFmtId="166" formatCode="0.0"/>
    <numFmt numFmtId="167" formatCode="_-* #,##0.00_-;\-* #,##0.00_-;_-* &quot;-&quot;??_-;_-@_-"/>
    <numFmt numFmtId="168" formatCode="0.00_)"/>
    <numFmt numFmtId="169" formatCode="0.000%"/>
    <numFmt numFmtId="170" formatCode="&quot;True&quot;;&quot;True&quot;;&quot;False&quot;"/>
    <numFmt numFmtId="171" formatCode="_-* #,##0_-;\-* #,##0_-;_-* &quot;-&quot;_-;_-@_-"/>
    <numFmt numFmtId="172" formatCode="_-&quot;$&quot;* #,##0_-;\-&quot;$&quot;* #,##0_-;_-&quot;$&quot;* &quot;-&quot;_-;_-@_-"/>
    <numFmt numFmtId="173" formatCode="_-&quot;$&quot;* #,##0.00_-;\-&quot;$&quot;* #,##0.00_-;_-&quot;$&quot;* &quot;-&quot;??_-;_-@_-"/>
    <numFmt numFmtId="174" formatCode="_(* #,##0.00_);_(* \(#,##0.00\);_(* \-??_);_(@_)"/>
    <numFmt numFmtId="175" formatCode="#,##0.00000_);\(#,##0.00000\)"/>
    <numFmt numFmtId="176" formatCode="#,##0.0_);\(#,##0.0\)"/>
    <numFmt numFmtId="177" formatCode="&quot;$&quot;#,##0;\-&quot;$&quot;#,##0"/>
    <numFmt numFmtId="178" formatCode="0.000_)"/>
    <numFmt numFmtId="179" formatCode="0_)"/>
    <numFmt numFmtId="180" formatCode="0.0000_)"/>
    <numFmt numFmtId="181" formatCode="#,##0.00\ ;\-#,##0.00\ ;&quot; -&quot;#\ ;@\ "/>
    <numFmt numFmtId="182" formatCode="0.00;[Red]0.00"/>
    <numFmt numFmtId="183" formatCode="#,##0.00\ ;&quot; (&quot;#,##0.00\);&quot; -&quot;#\ ;@\ "/>
    <numFmt numFmtId="184" formatCode="0.0000;[Red]0.0000"/>
    <numFmt numFmtId="185" formatCode="0.000;[Red]0.000"/>
    <numFmt numFmtId="186" formatCode="0.00000;[Red]0.00000"/>
    <numFmt numFmtId="187" formatCode="0.0000"/>
    <numFmt numFmtId="188" formatCode="0.00000"/>
    <numFmt numFmtId="189" formatCode="0.00\ \ "/>
    <numFmt numFmtId="190" formatCode="#,##0.000\ ;&quot; (&quot;#,##0.000\);&quot; -&quot;#.0\ ;@\ "/>
  </numFmts>
  <fonts count="128">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sz val="10"/>
      <name val="Arial"/>
      <family val="2"/>
    </font>
    <font>
      <b/>
      <sz val="12"/>
      <name val="Arial"/>
      <family val="2"/>
    </font>
    <font>
      <sz val="10"/>
      <name val="Helv"/>
      <charset val="204"/>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8"/>
      <name val="Arial"/>
      <family val="2"/>
    </font>
    <font>
      <b/>
      <sz val="11"/>
      <name val="Times New Roman"/>
      <family val="1"/>
    </font>
    <font>
      <sz val="10"/>
      <color indexed="8"/>
      <name val="Arial"/>
      <family val="2"/>
    </font>
    <font>
      <b/>
      <sz val="20"/>
      <color theme="1"/>
      <name val="Calibri"/>
      <family val="2"/>
      <scheme val="minor"/>
    </font>
    <font>
      <sz val="11"/>
      <color indexed="8"/>
      <name val="Calibri"/>
      <family val="2"/>
    </font>
    <font>
      <sz val="11"/>
      <color indexed="9"/>
      <name val="Calibri"/>
      <family val="2"/>
    </font>
    <font>
      <b/>
      <sz val="11"/>
      <color indexed="8"/>
      <name val="Calibri"/>
      <family val="2"/>
    </font>
    <font>
      <b/>
      <sz val="18"/>
      <color indexed="62"/>
      <name val="Cambria"/>
      <family val="2"/>
    </font>
    <font>
      <b/>
      <i/>
      <sz val="16"/>
      <name val="Helv"/>
    </font>
    <font>
      <sz val="8"/>
      <name val="Times New Roman"/>
      <family val="1"/>
    </font>
    <font>
      <sz val="10"/>
      <name val="MS Serif"/>
      <family val="1"/>
    </font>
    <font>
      <sz val="10"/>
      <name val="Courier"/>
      <family val="3"/>
    </font>
    <font>
      <sz val="10"/>
      <color indexed="16"/>
      <name val="MS Serif"/>
      <family val="1"/>
    </font>
    <font>
      <sz val="12"/>
      <name val="Helv"/>
    </font>
    <font>
      <sz val="12"/>
      <color indexed="9"/>
      <name val="Helv"/>
    </font>
    <font>
      <b/>
      <sz val="10"/>
      <name val="Times New Roman"/>
      <family val="1"/>
    </font>
    <font>
      <sz val="7"/>
      <name val="Small Fonts"/>
      <family val="2"/>
    </font>
    <font>
      <sz val="10"/>
      <name val="Tms Rmn"/>
    </font>
    <font>
      <sz val="10"/>
      <name val="MS Sans Serif"/>
      <family val="2"/>
    </font>
    <font>
      <sz val="8"/>
      <name val="Helv"/>
    </font>
    <font>
      <b/>
      <sz val="12"/>
      <name val="MS Sans Serif"/>
      <family val="2"/>
    </font>
    <font>
      <sz val="12"/>
      <name val="MS Sans Serif"/>
      <family val="2"/>
    </font>
    <font>
      <b/>
      <sz val="8"/>
      <color indexed="8"/>
      <name val="Helv"/>
    </font>
    <font>
      <u/>
      <sz val="10"/>
      <color theme="10"/>
      <name val="Arial"/>
      <family val="2"/>
    </font>
    <font>
      <u/>
      <sz val="11"/>
      <color theme="10"/>
      <name val="Calibri"/>
      <family val="2"/>
      <scheme val="minor"/>
    </font>
    <font>
      <sz val="16"/>
      <color theme="1"/>
      <name val="Calibri"/>
      <family val="2"/>
      <scheme val="minor"/>
    </font>
    <font>
      <sz val="14"/>
      <color theme="1"/>
      <name val="Calibri"/>
      <family val="2"/>
      <scheme val="minor"/>
    </font>
    <font>
      <sz val="10"/>
      <name val="Arial"/>
      <family val="2"/>
    </font>
    <font>
      <sz val="10"/>
      <name val="Arial"/>
      <family val="2"/>
      <charset val="204"/>
    </font>
    <font>
      <b/>
      <sz val="12"/>
      <name val="Times New Roman"/>
      <family val="1"/>
    </font>
    <font>
      <sz val="12"/>
      <name val="Times New Roman"/>
      <family val="1"/>
    </font>
    <font>
      <sz val="12"/>
      <color theme="1"/>
      <name val="Times New Roman"/>
      <family val="1"/>
    </font>
    <font>
      <sz val="12"/>
      <color theme="1"/>
      <name val="Calibri"/>
      <family val="2"/>
      <scheme val="minor"/>
    </font>
    <font>
      <b/>
      <sz val="18"/>
      <color theme="1"/>
      <name val="Calibri"/>
      <family val="2"/>
      <scheme val="minor"/>
    </font>
    <font>
      <sz val="10"/>
      <color theme="1"/>
      <name val="Arial"/>
      <family val="2"/>
    </font>
    <font>
      <sz val="11"/>
      <color rgb="FFFF0000"/>
      <name val="Calibri"/>
      <family val="2"/>
      <scheme val="minor"/>
    </font>
    <font>
      <b/>
      <sz val="12"/>
      <color rgb="FF7030A0"/>
      <name val="Arial Unicode MS"/>
      <family val="2"/>
    </font>
    <font>
      <b/>
      <sz val="10"/>
      <color rgb="FF7030A0"/>
      <name val="Arial Unicode MS"/>
      <family val="2"/>
    </font>
    <font>
      <b/>
      <sz val="9"/>
      <color rgb="FF7030A0"/>
      <name val="Arial Unicode MS"/>
      <family val="2"/>
    </font>
    <font>
      <sz val="12"/>
      <color rgb="FFFF0000"/>
      <name val="Times New Roman"/>
      <family val="1"/>
    </font>
    <font>
      <b/>
      <sz val="10"/>
      <color theme="1"/>
      <name val="Arial Unicode MS"/>
      <family val="2"/>
    </font>
    <font>
      <b/>
      <sz val="12"/>
      <color theme="1"/>
      <name val="Calibri"/>
      <family val="2"/>
      <scheme val="minor"/>
    </font>
    <font>
      <sz val="16"/>
      <color rgb="FFFF0000"/>
      <name val="Calibri"/>
      <family val="2"/>
      <scheme val="minor"/>
    </font>
    <font>
      <b/>
      <sz val="12"/>
      <color rgb="FF002060"/>
      <name val="Calibri"/>
      <family val="2"/>
      <scheme val="minor"/>
    </font>
    <font>
      <sz val="11"/>
      <color rgb="FFC00000"/>
      <name val="Calibri"/>
      <family val="2"/>
      <scheme val="minor"/>
    </font>
    <font>
      <sz val="12"/>
      <name val="Cambria"/>
      <family val="1"/>
      <scheme val="major"/>
    </font>
    <font>
      <sz val="11"/>
      <name val="Arial"/>
      <family val="2"/>
    </font>
    <font>
      <sz val="11"/>
      <color theme="1"/>
      <name val="Arial"/>
      <family val="2"/>
    </font>
    <font>
      <b/>
      <sz val="11"/>
      <color theme="1"/>
      <name val="Arial"/>
      <family val="2"/>
    </font>
    <font>
      <sz val="11"/>
      <name val="Tahoma"/>
      <family val="2"/>
    </font>
    <font>
      <sz val="11"/>
      <name val="Times New Roman"/>
      <family val="1"/>
    </font>
    <font>
      <sz val="11"/>
      <name val="Calibri"/>
      <family val="2"/>
      <scheme val="minor"/>
    </font>
    <font>
      <b/>
      <sz val="11"/>
      <name val="Calibri"/>
      <family val="2"/>
      <scheme val="minor"/>
    </font>
    <font>
      <sz val="12"/>
      <name val="Calibri"/>
      <family val="2"/>
      <scheme val="minor"/>
    </font>
    <font>
      <sz val="12"/>
      <color rgb="FFC00000"/>
      <name val="Times New Roman"/>
      <family val="1"/>
    </font>
    <font>
      <sz val="14"/>
      <color rgb="FFC00000"/>
      <name val="Calibri"/>
      <family val="2"/>
      <scheme val="minor"/>
    </font>
    <font>
      <b/>
      <sz val="12"/>
      <name val="Cambria"/>
      <family val="1"/>
      <scheme val="major"/>
    </font>
    <font>
      <sz val="12"/>
      <color theme="1"/>
      <name val="Arial Unicode MS"/>
      <family val="2"/>
    </font>
    <font>
      <sz val="11"/>
      <color theme="1"/>
      <name val="Arial Unicode MS"/>
      <family val="2"/>
    </font>
    <font>
      <sz val="12"/>
      <name val="Arial Unicode MS"/>
      <family val="2"/>
    </font>
    <font>
      <sz val="12"/>
      <color rgb="FFFF0000"/>
      <name val="Arial Unicode MS"/>
      <family val="2"/>
    </font>
    <font>
      <b/>
      <sz val="12"/>
      <name val="Arial Unicode MS"/>
      <family val="2"/>
    </font>
    <font>
      <sz val="11"/>
      <color rgb="FFFF0000"/>
      <name val="Arial Unicode MS"/>
      <family val="2"/>
    </font>
    <font>
      <sz val="16"/>
      <color theme="1"/>
      <name val="Arial Unicode MS"/>
      <family val="2"/>
    </font>
    <font>
      <b/>
      <sz val="11"/>
      <color theme="1"/>
      <name val="Arial Unicode MS"/>
      <family val="2"/>
    </font>
    <font>
      <sz val="10"/>
      <color theme="1"/>
      <name val="Arial Unicode MS"/>
      <family val="2"/>
    </font>
    <font>
      <sz val="14"/>
      <color theme="1"/>
      <name val="Arial Unicode MS"/>
      <family val="2"/>
    </font>
    <font>
      <b/>
      <sz val="22"/>
      <color rgb="FFFF0000"/>
      <name val="Arial Unicode MS"/>
      <family val="2"/>
    </font>
    <font>
      <sz val="9"/>
      <color rgb="FFFF0000"/>
      <name val="Arial Unicode MS"/>
      <family val="2"/>
    </font>
    <font>
      <b/>
      <sz val="18"/>
      <color rgb="FFFF0000"/>
      <name val="Arial Unicode MS"/>
      <family val="2"/>
    </font>
    <font>
      <sz val="22"/>
      <color theme="1"/>
      <name val="Arial Unicode MS"/>
      <family val="2"/>
    </font>
    <font>
      <sz val="11"/>
      <color rgb="FF00B050"/>
      <name val="Arial Unicode MS"/>
      <family val="2"/>
    </font>
    <font>
      <sz val="12"/>
      <color rgb="FF00B050"/>
      <name val="Arial Unicode MS"/>
      <family val="2"/>
    </font>
    <font>
      <b/>
      <sz val="12"/>
      <color theme="1"/>
      <name val="Arial Unicode MS"/>
      <family val="2"/>
    </font>
    <font>
      <b/>
      <sz val="11"/>
      <name val="Arial Unicode MS"/>
      <family val="2"/>
    </font>
    <font>
      <sz val="11"/>
      <name val="Arial Unicode MS"/>
      <family val="2"/>
    </font>
    <font>
      <sz val="11"/>
      <color rgb="FFC00000"/>
      <name val="Arial Unicode MS"/>
      <family val="2"/>
    </font>
    <font>
      <sz val="12"/>
      <color rgb="FFC00000"/>
      <name val="Arial Unicode MS"/>
      <family val="2"/>
    </font>
    <font>
      <sz val="10"/>
      <name val="Arial Unicode MS"/>
      <family val="2"/>
    </font>
    <font>
      <b/>
      <sz val="8"/>
      <color theme="1"/>
      <name val="Arial Unicode MS"/>
      <family val="2"/>
    </font>
    <font>
      <sz val="12"/>
      <name val="Arial"/>
      <family val="2"/>
    </font>
    <font>
      <sz val="10"/>
      <color rgb="FFFF0000"/>
      <name val="Arial Unicode MS"/>
      <family val="2"/>
    </font>
    <font>
      <sz val="9"/>
      <name val="Arial Unicode MS"/>
      <family val="2"/>
    </font>
    <font>
      <b/>
      <sz val="9"/>
      <color theme="1"/>
      <name val="Arial Unicode MS"/>
      <family val="2"/>
    </font>
    <font>
      <b/>
      <sz val="9"/>
      <name val="Arial Unicode MS"/>
      <family val="2"/>
    </font>
    <font>
      <sz val="9"/>
      <color theme="1"/>
      <name val="Arial Unicode MS"/>
      <family val="2"/>
    </font>
    <font>
      <b/>
      <sz val="14"/>
      <color theme="1"/>
      <name val="Arial Unicode MS"/>
      <family val="2"/>
    </font>
    <font>
      <b/>
      <sz val="12"/>
      <color rgb="FFFF0000"/>
      <name val="Arial Unicode MS"/>
      <family val="2"/>
    </font>
    <font>
      <b/>
      <sz val="11"/>
      <color rgb="FFFF0000"/>
      <name val="Arial Unicode MS"/>
      <family val="2"/>
    </font>
    <font>
      <b/>
      <sz val="10"/>
      <color rgb="FFFF0000"/>
      <name val="Arial Unicode MS"/>
      <family val="2"/>
    </font>
    <font>
      <sz val="10"/>
      <color rgb="FFC00000"/>
      <name val="Arial Unicode MS"/>
      <family val="2"/>
    </font>
    <font>
      <i/>
      <sz val="10"/>
      <color theme="1"/>
      <name val="Arial Unicode MS"/>
      <family val="2"/>
    </font>
    <font>
      <sz val="10"/>
      <color theme="1"/>
      <name val="Calibri"/>
      <family val="2"/>
      <scheme val="minor"/>
    </font>
    <font>
      <b/>
      <sz val="8"/>
      <name val="Arial Unicode MS"/>
      <family val="2"/>
    </font>
    <font>
      <sz val="8"/>
      <color theme="1"/>
      <name val="Arial Unicode MS"/>
      <family val="2"/>
    </font>
    <font>
      <b/>
      <sz val="11"/>
      <color rgb="FF7030A0"/>
      <name val="Arial Unicode MS"/>
      <family val="2"/>
    </font>
    <font>
      <sz val="12"/>
      <color theme="1"/>
      <name val="Arial"/>
      <family val="2"/>
    </font>
    <font>
      <sz val="12"/>
      <name val="Tahoma"/>
      <family val="2"/>
    </font>
    <font>
      <b/>
      <sz val="12"/>
      <color theme="1"/>
      <name val="Arial"/>
      <family val="2"/>
    </font>
    <font>
      <vertAlign val="superscript"/>
      <sz val="12"/>
      <name val="Cambria"/>
      <family val="1"/>
    </font>
    <font>
      <sz val="12"/>
      <name val="Cambria"/>
      <family val="1"/>
    </font>
    <font>
      <sz val="12"/>
      <name val="Book Antiqua"/>
      <family val="1"/>
    </font>
    <font>
      <b/>
      <sz val="12"/>
      <name val="Book Antiqua"/>
      <family val="1"/>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44"/>
        <bgColor indexed="44"/>
      </patternFill>
    </fill>
    <fill>
      <patternFill patternType="solid">
        <fgColor indexed="27"/>
        <bgColor indexed="27"/>
      </patternFill>
    </fill>
    <fill>
      <patternFill patternType="solid">
        <fgColor indexed="29"/>
        <bgColor indexed="29"/>
      </patternFill>
    </fill>
    <fill>
      <patternFill patternType="solid">
        <fgColor indexed="53"/>
        <bgColor indexed="53"/>
      </patternFill>
    </fill>
    <fill>
      <patternFill patternType="solid">
        <fgColor indexed="26"/>
        <bgColor indexed="26"/>
      </patternFill>
    </fill>
    <fill>
      <patternFill patternType="solid">
        <fgColor indexed="43"/>
        <bgColor indexed="43"/>
      </patternFill>
    </fill>
    <fill>
      <patternFill patternType="solid">
        <fgColor indexed="51"/>
        <bgColor indexed="51"/>
      </patternFill>
    </fill>
    <fill>
      <patternFill patternType="solid">
        <fgColor indexed="47"/>
        <bgColor indexed="47"/>
      </patternFill>
    </fill>
    <fill>
      <patternFill patternType="solid">
        <fgColor indexed="45"/>
        <bgColor indexed="45"/>
      </patternFill>
    </fill>
    <fill>
      <patternFill patternType="lightUp">
        <fgColor indexed="9"/>
        <bgColor indexed="56"/>
      </patternFill>
    </fill>
    <fill>
      <patternFill patternType="lightUp">
        <fgColor indexed="9"/>
        <bgColor indexed="53"/>
      </patternFill>
    </fill>
    <fill>
      <patternFill patternType="lightUp">
        <fgColor indexed="9"/>
        <bgColor indexed="51"/>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9"/>
        <bgColor indexed="9"/>
      </patternFill>
    </fill>
    <fill>
      <patternFill patternType="solid">
        <fgColor theme="0"/>
        <bgColor indexed="64"/>
      </patternFill>
    </fill>
    <fill>
      <patternFill patternType="solid">
        <fgColor theme="2"/>
        <bgColor indexed="64"/>
      </patternFill>
    </fill>
    <fill>
      <patternFill patternType="solid">
        <fgColor rgb="FFFF99CC"/>
        <bgColor indexed="64"/>
      </patternFill>
    </fill>
    <fill>
      <patternFill patternType="solid">
        <fgColor theme="0"/>
        <bgColor indexed="22"/>
      </patternFill>
    </fill>
    <fill>
      <patternFill patternType="solid">
        <fgColor indexed="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dashed">
        <color auto="1"/>
      </left>
      <right style="dashed">
        <color auto="1"/>
      </right>
      <top style="dashed">
        <color auto="1"/>
      </top>
      <bottom style="dashed">
        <color auto="1"/>
      </bottom>
      <diagonal/>
    </border>
    <border>
      <left style="dashed">
        <color auto="1"/>
      </left>
      <right style="dashed">
        <color auto="1"/>
      </right>
      <top style="thin">
        <color indexed="64"/>
      </top>
      <bottom style="medium">
        <color indexed="64"/>
      </bottom>
      <diagonal/>
    </border>
    <border>
      <left style="dashed">
        <color auto="1"/>
      </left>
      <right style="dashed">
        <color auto="1"/>
      </right>
      <top/>
      <bottom/>
      <diagonal/>
    </border>
    <border>
      <left style="dashed">
        <color auto="1"/>
      </left>
      <right style="dashed">
        <color auto="1"/>
      </right>
      <top/>
      <bottom style="dashed">
        <color auto="1"/>
      </bottom>
      <diagonal/>
    </border>
    <border>
      <left style="dashed">
        <color auto="1"/>
      </left>
      <right style="dashed">
        <color auto="1"/>
      </right>
      <top style="dashed">
        <color auto="1"/>
      </top>
      <bottom/>
      <diagonal/>
    </border>
    <border>
      <left style="dashed">
        <color auto="1"/>
      </left>
      <right/>
      <top style="dashed">
        <color auto="1"/>
      </top>
      <bottom style="dashed">
        <color auto="1"/>
      </bottom>
      <diagonal/>
    </border>
    <border>
      <left/>
      <right/>
      <top style="dashed">
        <color auto="1"/>
      </top>
      <bottom style="dashed">
        <color auto="1"/>
      </bottom>
      <diagonal/>
    </border>
    <border>
      <left/>
      <right style="dashed">
        <color auto="1"/>
      </right>
      <top style="dashed">
        <color auto="1"/>
      </top>
      <bottom style="dashed">
        <color auto="1"/>
      </bottom>
      <diagonal/>
    </border>
    <border>
      <left style="dashed">
        <color auto="1"/>
      </left>
      <right/>
      <top/>
      <bottom style="dashed">
        <color auto="1"/>
      </bottom>
      <diagonal/>
    </border>
    <border>
      <left/>
      <right style="dashed">
        <color auto="1"/>
      </right>
      <top/>
      <bottom style="dashed">
        <color auto="1"/>
      </bottom>
      <diagonal/>
    </border>
    <border>
      <left/>
      <right/>
      <top/>
      <bottom style="dashed">
        <color auto="1"/>
      </bottom>
      <diagonal/>
    </border>
  </borders>
  <cellStyleXfs count="215">
    <xf numFmtId="0" fontId="0" fillId="0" borderId="0"/>
    <xf numFmtId="0" fontId="5" fillId="0" borderId="0"/>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164" fontId="5" fillId="0" borderId="0" applyFont="0" applyFill="0" applyBorder="0" applyAlignment="0" applyProtection="0"/>
    <xf numFmtId="0" fontId="5" fillId="0" borderId="0" applyFont="0" applyFill="0" applyBorder="0" applyAlignment="0" applyProtection="0"/>
    <xf numFmtId="0" fontId="5" fillId="0" borderId="0"/>
    <xf numFmtId="9" fontId="5" fillId="0" borderId="0" applyFont="0" applyFill="0" applyBorder="0" applyAlignment="0" applyProtection="0"/>
    <xf numFmtId="0" fontId="7" fillId="0" borderId="0"/>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21" borderId="8" applyNumberFormat="0" applyAlignment="0" applyProtection="0">
      <alignment vertical="center"/>
    </xf>
    <xf numFmtId="0" fontId="12" fillId="22" borderId="0" applyNumberFormat="0" applyBorder="0" applyAlignment="0" applyProtection="0">
      <alignment vertical="center"/>
    </xf>
    <xf numFmtId="0" fontId="8" fillId="23" borderId="13" applyNumberFormat="0" applyFont="0" applyAlignment="0" applyProtection="0">
      <alignment vertical="center"/>
    </xf>
    <xf numFmtId="0" fontId="13" fillId="0" borderId="12" applyNumberFormat="0" applyFill="0" applyAlignment="0" applyProtection="0">
      <alignment vertical="center"/>
    </xf>
    <xf numFmtId="0" fontId="14" fillId="7" borderId="7" applyNumberFormat="0" applyAlignment="0" applyProtection="0">
      <alignment vertical="center"/>
    </xf>
    <xf numFmtId="0" fontId="15" fillId="20" borderId="14" applyNumberFormat="0" applyAlignment="0" applyProtection="0">
      <alignment vertical="center"/>
    </xf>
    <xf numFmtId="0" fontId="16" fillId="3" borderId="0" applyNumberFormat="0" applyBorder="0" applyAlignment="0" applyProtection="0">
      <alignment vertical="center"/>
    </xf>
    <xf numFmtId="0" fontId="17" fillId="4"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20" borderId="7"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5" applyNumberFormat="0" applyFill="0" applyAlignment="0" applyProtection="0">
      <alignment vertical="center"/>
    </xf>
    <xf numFmtId="0" fontId="30" fillId="26"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30" fillId="31" borderId="0" applyNumberFormat="0" applyBorder="0" applyAlignment="0" applyProtection="0"/>
    <xf numFmtId="0" fontId="29" fillId="32" borderId="0" applyNumberFormat="0" applyBorder="0" applyAlignment="0" applyProtection="0"/>
    <xf numFmtId="0" fontId="29" fillId="33" borderId="0" applyNumberFormat="0" applyBorder="0" applyAlignment="0" applyProtection="0"/>
    <xf numFmtId="0" fontId="30" fillId="33"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26"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0" fillId="27" borderId="0" applyNumberFormat="0" applyBorder="0" applyAlignment="0" applyProtection="0"/>
    <xf numFmtId="0" fontId="34" fillId="0" borderId="0">
      <alignment horizontal="center" wrapText="1"/>
      <protection locked="0"/>
    </xf>
    <xf numFmtId="0" fontId="27" fillId="0" borderId="0" applyFill="0" applyBorder="0" applyAlignment="0"/>
    <xf numFmtId="175" fontId="5" fillId="0" borderId="0"/>
    <xf numFmtId="0" fontId="29" fillId="25" borderId="0" applyNumberFormat="0" applyBorder="0" applyAlignment="0" applyProtection="0"/>
    <xf numFmtId="0" fontId="29" fillId="26" borderId="0" applyNumberFormat="0" applyBorder="0" applyAlignment="0" applyProtection="0"/>
    <xf numFmtId="175" fontId="5" fillId="0" borderId="0"/>
    <xf numFmtId="175" fontId="5" fillId="0" borderId="0"/>
    <xf numFmtId="175" fontId="5" fillId="0" borderId="0"/>
    <xf numFmtId="175" fontId="5" fillId="0" borderId="0"/>
    <xf numFmtId="175" fontId="5" fillId="0" borderId="0"/>
    <xf numFmtId="175" fontId="5" fillId="0" borderId="0"/>
    <xf numFmtId="175" fontId="5" fillId="0" borderId="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5" fillId="0" borderId="0" applyFont="0" applyFill="0" applyBorder="0" applyAlignment="0" applyProtection="0"/>
    <xf numFmtId="170"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70" fontId="5" fillId="0" borderId="0" applyFont="0" applyFill="0" applyBorder="0" applyAlignment="0" applyProtection="0"/>
    <xf numFmtId="43" fontId="4" fillId="0" borderId="0" applyFont="0" applyFill="0" applyBorder="0" applyAlignment="0" applyProtection="0"/>
    <xf numFmtId="174" fontId="5" fillId="0" borderId="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0" fontId="35" fillId="0" borderId="0" applyNumberFormat="0" applyAlignment="0">
      <alignment horizontal="left"/>
    </xf>
    <xf numFmtId="0" fontId="36" fillId="0" borderId="0" applyNumberFormat="0" applyAlignment="0"/>
    <xf numFmtId="0" fontId="31" fillId="34" borderId="0" applyNumberFormat="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7" fillId="0" borderId="0" applyNumberFormat="0" applyAlignment="0">
      <alignment horizontal="left"/>
    </xf>
    <xf numFmtId="2" fontId="5" fillId="0" borderId="0" applyFont="0" applyFill="0" applyBorder="0" applyAlignment="0" applyProtection="0"/>
    <xf numFmtId="38" fontId="25" fillId="37" borderId="0" applyNumberFormat="0" applyBorder="0" applyAlignment="0" applyProtection="0"/>
    <xf numFmtId="0" fontId="6" fillId="0" borderId="19" applyNumberFormat="0" applyAlignment="0" applyProtection="0">
      <alignment horizontal="left" vertical="center"/>
    </xf>
    <xf numFmtId="0" fontId="6" fillId="0" borderId="16">
      <alignment horizontal="left" vertical="center"/>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10" fontId="25" fillId="38" borderId="1" applyNumberFormat="0" applyBorder="0" applyAlignment="0" applyProtection="0"/>
    <xf numFmtId="176" fontId="38" fillId="39" borderId="0"/>
    <xf numFmtId="176" fontId="39" fillId="40" borderId="0"/>
    <xf numFmtId="166" fontId="40" fillId="0" borderId="20">
      <alignment horizontal="right"/>
    </xf>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37" fontId="41" fillId="0" borderId="0"/>
    <xf numFmtId="168" fontId="33"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29" fillId="0" borderId="0"/>
    <xf numFmtId="0" fontId="29" fillId="0" borderId="0"/>
    <xf numFmtId="0" fontId="5" fillId="0" borderId="0"/>
    <xf numFmtId="0" fontId="4" fillId="0" borderId="0"/>
    <xf numFmtId="0" fontId="5" fillId="0" borderId="0"/>
    <xf numFmtId="0" fontId="4" fillId="0" borderId="0"/>
    <xf numFmtId="0" fontId="5" fillId="0" borderId="0"/>
    <xf numFmtId="0" fontId="5" fillId="0" borderId="0"/>
    <xf numFmtId="0" fontId="5"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167" fontId="5" fillId="0" borderId="0" applyFont="0" applyFill="0" applyBorder="0" applyAlignment="0" applyProtection="0"/>
    <xf numFmtId="171" fontId="5" fillId="0" borderId="0" applyFont="0" applyFill="0" applyBorder="0" applyAlignment="0" applyProtection="0"/>
    <xf numFmtId="14" fontId="34" fillId="0" borderId="0">
      <alignment horizontal="center" wrapText="1"/>
      <protection locked="0"/>
    </xf>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9" fillId="0" borderId="0" applyFont="0" applyFill="0" applyBorder="0" applyAlignment="0" applyProtection="0"/>
    <xf numFmtId="177" fontId="42" fillId="0" borderId="0"/>
    <xf numFmtId="0" fontId="43" fillId="0" borderId="0" applyNumberFormat="0" applyFont="0" applyFill="0" applyBorder="0" applyAlignment="0" applyProtection="0">
      <alignment horizontal="left"/>
    </xf>
    <xf numFmtId="14" fontId="44" fillId="0" borderId="0" applyNumberFormat="0" applyFill="0" applyBorder="0" applyAlignment="0" applyProtection="0">
      <alignment horizontal="left"/>
    </xf>
    <xf numFmtId="0" fontId="32" fillId="0" borderId="0" applyNumberFormat="0" applyFill="0" applyBorder="0" applyAlignment="0" applyProtection="0"/>
    <xf numFmtId="0" fontId="45" fillId="0" borderId="1">
      <alignment horizontal="center"/>
    </xf>
    <xf numFmtId="0" fontId="45" fillId="0" borderId="0">
      <alignment horizontal="center" vertical="center"/>
    </xf>
    <xf numFmtId="0" fontId="46" fillId="41" borderId="0" applyNumberFormat="0" applyFill="0">
      <alignment horizontal="left" vertical="center"/>
    </xf>
    <xf numFmtId="40" fontId="47" fillId="0" borderId="0" applyBorder="0">
      <alignment horizontal="right"/>
    </xf>
    <xf numFmtId="49" fontId="5" fillId="0" borderId="0"/>
    <xf numFmtId="171" fontId="5" fillId="0" borderId="0" applyFont="0" applyFill="0" applyBorder="0" applyAlignment="0" applyProtection="0"/>
    <xf numFmtId="0" fontId="5" fillId="0" borderId="0"/>
    <xf numFmtId="40" fontId="26" fillId="0" borderId="0"/>
    <xf numFmtId="171" fontId="5" fillId="0" borderId="0" applyFont="0" applyFill="0" applyBorder="0" applyAlignment="0" applyProtection="0"/>
    <xf numFmtId="167" fontId="5" fillId="0" borderId="0" applyFont="0" applyFill="0" applyBorder="0" applyAlignment="0" applyProtection="0"/>
    <xf numFmtId="0" fontId="5" fillId="0" borderId="17">
      <alignment horizontal="center"/>
    </xf>
    <xf numFmtId="172" fontId="5" fillId="0" borderId="0" applyFont="0" applyFill="0" applyBorder="0" applyAlignment="0" applyProtection="0"/>
    <xf numFmtId="173" fontId="5" fillId="0" borderId="0" applyFont="0" applyFill="0" applyBorder="0" applyAlignment="0" applyProtection="0"/>
    <xf numFmtId="0" fontId="5" fillId="0" borderId="0"/>
    <xf numFmtId="164" fontId="5" fillId="0" borderId="0" applyFont="0" applyFill="0" applyBorder="0" applyAlignment="0" applyProtection="0"/>
    <xf numFmtId="0" fontId="52"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0" fontId="27" fillId="0" borderId="0"/>
    <xf numFmtId="164" fontId="5" fillId="0" borderId="0" applyFont="0" applyFill="0" applyBorder="0" applyAlignment="0" applyProtection="0"/>
    <xf numFmtId="0" fontId="27" fillId="0" borderId="0"/>
    <xf numFmtId="0" fontId="5" fillId="0" borderId="0"/>
    <xf numFmtId="166" fontId="29" fillId="0" borderId="0" applyFill="0" applyBorder="0" applyAlignment="0" applyProtection="0"/>
    <xf numFmtId="166" fontId="29" fillId="0" borderId="0" applyFill="0" applyBorder="0" applyAlignment="0" applyProtection="0"/>
    <xf numFmtId="0" fontId="53" fillId="0" borderId="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9" fontId="29" fillId="0" borderId="0" applyFont="0" applyFill="0" applyBorder="0" applyAlignment="0" applyProtection="0"/>
    <xf numFmtId="0" fontId="29" fillId="0" borderId="0" applyFill="0" applyBorder="0" applyAlignment="0" applyProtection="0"/>
    <xf numFmtId="181" fontId="29" fillId="0" borderId="0" applyFill="0" applyBorder="0" applyAlignment="0" applyProtection="0"/>
    <xf numFmtId="0" fontId="52"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0" fontId="52" fillId="0" borderId="0"/>
    <xf numFmtId="164"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2" fillId="0" borderId="0"/>
    <xf numFmtId="0" fontId="52" fillId="0" borderId="0"/>
    <xf numFmtId="164" fontId="5" fillId="0" borderId="0" applyFont="0" applyFill="0" applyBorder="0" applyAlignment="0" applyProtection="0"/>
    <xf numFmtId="164" fontId="4" fillId="0" borderId="0" applyFont="0" applyFill="0" applyBorder="0" applyAlignment="0" applyProtection="0"/>
    <xf numFmtId="0" fontId="5" fillId="0" borderId="0"/>
    <xf numFmtId="164"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3" fillId="0" borderId="0"/>
    <xf numFmtId="0" fontId="53" fillId="0" borderId="0"/>
    <xf numFmtId="9" fontId="4" fillId="0" borderId="0" applyFont="0" applyFill="0" applyBorder="0" applyAlignment="0" applyProtection="0"/>
    <xf numFmtId="0" fontId="53" fillId="0" borderId="0"/>
    <xf numFmtId="0" fontId="75" fillId="0" borderId="0"/>
    <xf numFmtId="175" fontId="53" fillId="0" borderId="0" applyFill="0" applyBorder="0" applyAlignment="0" applyProtection="0"/>
    <xf numFmtId="176" fontId="29" fillId="0" borderId="0"/>
  </cellStyleXfs>
  <cellXfs count="897">
    <xf numFmtId="0" fontId="0" fillId="0" borderId="0" xfId="0"/>
    <xf numFmtId="0" fontId="0" fillId="0" borderId="1" xfId="0" applyBorder="1"/>
    <xf numFmtId="2" fontId="0" fillId="0" borderId="1" xfId="0" applyNumberFormat="1" applyBorder="1"/>
    <xf numFmtId="2" fontId="1" fillId="0" borderId="1" xfId="0" applyNumberFormat="1" applyFont="1" applyBorder="1"/>
    <xf numFmtId="0" fontId="1" fillId="0" borderId="1" xfId="0" applyFont="1" applyBorder="1"/>
    <xf numFmtId="0" fontId="0" fillId="0" borderId="1" xfId="0" applyFont="1" applyBorder="1"/>
    <xf numFmtId="0" fontId="0" fillId="0" borderId="0" xfId="0" applyBorder="1"/>
    <xf numFmtId="0" fontId="0" fillId="0" borderId="2" xfId="0" applyBorder="1"/>
    <xf numFmtId="0" fontId="2" fillId="0" borderId="1" xfId="0" applyFont="1" applyBorder="1"/>
    <xf numFmtId="0" fontId="0" fillId="0" borderId="1" xfId="0" applyBorder="1" applyAlignment="1">
      <alignment wrapText="1"/>
    </xf>
    <xf numFmtId="2" fontId="0" fillId="0" borderId="1" xfId="0" applyNumberFormat="1" applyFont="1" applyBorder="1"/>
    <xf numFmtId="0" fontId="0" fillId="0" borderId="1" xfId="0" applyBorder="1" applyAlignment="1"/>
    <xf numFmtId="2" fontId="0" fillId="0" borderId="0" xfId="0" applyNumberFormat="1"/>
    <xf numFmtId="0" fontId="0" fillId="0" borderId="6" xfId="0" applyBorder="1"/>
    <xf numFmtId="0" fontId="0" fillId="0" borderId="1" xfId="0" applyBorder="1" applyAlignment="1">
      <alignment vertical="center"/>
    </xf>
    <xf numFmtId="0" fontId="0" fillId="0" borderId="1" xfId="0" applyBorder="1" applyAlignment="1">
      <alignment horizontal="center" vertical="center"/>
    </xf>
    <xf numFmtId="0" fontId="0" fillId="0" borderId="18" xfId="0" applyBorder="1"/>
    <xf numFmtId="168" fontId="5" fillId="0" borderId="1" xfId="22" applyNumberFormat="1" applyFont="1" applyBorder="1" applyAlignment="1">
      <alignment horizontal="center" vertical="center" wrapText="1"/>
    </xf>
    <xf numFmtId="0" fontId="28" fillId="0" borderId="1" xfId="0" applyFont="1" applyBorder="1"/>
    <xf numFmtId="168" fontId="5" fillId="0" borderId="1" xfId="22" applyNumberFormat="1" applyFont="1" applyBorder="1" applyAlignment="1">
      <alignment vertical="top" wrapText="1"/>
    </xf>
    <xf numFmtId="168" fontId="5" fillId="0" borderId="1" xfId="22" applyNumberFormat="1" applyFont="1" applyBorder="1" applyAlignment="1">
      <alignment vertical="top" wrapText="1"/>
    </xf>
    <xf numFmtId="168" fontId="5" fillId="0" borderId="1" xfId="22" applyNumberFormat="1" applyFont="1" applyBorder="1" applyAlignment="1">
      <alignment vertical="top"/>
    </xf>
    <xf numFmtId="168" fontId="5" fillId="0" borderId="1" xfId="22" applyNumberFormat="1" applyFont="1" applyBorder="1" applyAlignment="1">
      <alignment vertical="top" wrapText="1"/>
    </xf>
    <xf numFmtId="168" fontId="5" fillId="0" borderId="1" xfId="22" applyNumberFormat="1" applyFont="1" applyBorder="1" applyAlignment="1">
      <alignment vertical="top" wrapText="1"/>
    </xf>
    <xf numFmtId="168" fontId="5" fillId="0" borderId="1" xfId="22" applyNumberFormat="1" applyFont="1" applyBorder="1" applyAlignment="1">
      <alignment vertical="top" wrapText="1"/>
    </xf>
    <xf numFmtId="168" fontId="5" fillId="0" borderId="6" xfId="22" applyNumberFormat="1" applyFont="1" applyBorder="1" applyAlignment="1">
      <alignment vertical="top" wrapText="1"/>
    </xf>
    <xf numFmtId="168" fontId="5" fillId="0" borderId="6" xfId="22" applyNumberFormat="1" applyFont="1" applyBorder="1" applyAlignment="1">
      <alignment vertical="top" wrapText="1"/>
    </xf>
    <xf numFmtId="168" fontId="5" fillId="0" borderId="1" xfId="22" applyNumberFormat="1" applyFont="1" applyBorder="1" applyAlignment="1">
      <alignment vertical="top" wrapText="1"/>
    </xf>
    <xf numFmtId="168" fontId="5" fillId="0" borderId="6" xfId="22" applyNumberFormat="1" applyFont="1" applyBorder="1" applyAlignment="1">
      <alignment vertical="top" wrapText="1"/>
    </xf>
    <xf numFmtId="168" fontId="5" fillId="0" borderId="1" xfId="22" applyNumberFormat="1" applyFont="1" applyBorder="1" applyAlignment="1">
      <alignment vertical="top" wrapText="1"/>
    </xf>
    <xf numFmtId="168" fontId="5" fillId="0" borderId="6" xfId="22" applyNumberFormat="1" applyFont="1" applyBorder="1" applyAlignment="1">
      <alignment vertical="top" wrapText="1"/>
    </xf>
    <xf numFmtId="168" fontId="5" fillId="0" borderId="6" xfId="22" applyNumberFormat="1" applyFont="1" applyBorder="1" applyAlignment="1">
      <alignment vertical="top" wrapText="1"/>
    </xf>
    <xf numFmtId="168" fontId="5" fillId="0" borderId="1" xfId="22" applyNumberFormat="1" applyFont="1" applyBorder="1" applyAlignment="1">
      <alignment vertical="center" wrapText="1"/>
    </xf>
    <xf numFmtId="168" fontId="5" fillId="0" borderId="18" xfId="22" applyNumberFormat="1" applyFont="1" applyBorder="1" applyAlignment="1">
      <alignment horizontal="center" vertical="center" wrapText="1"/>
    </xf>
    <xf numFmtId="168" fontId="5" fillId="0" borderId="18" xfId="22" applyNumberFormat="1" applyFont="1" applyBorder="1" applyAlignment="1">
      <alignment horizontal="center" vertical="center"/>
    </xf>
    <xf numFmtId="168" fontId="5" fillId="0" borderId="1" xfId="22" applyNumberFormat="1" applyFont="1" applyBorder="1" applyAlignment="1">
      <alignment vertical="top" wrapText="1"/>
    </xf>
    <xf numFmtId="168" fontId="5" fillId="0" borderId="1" xfId="22" applyNumberFormat="1" applyFont="1" applyBorder="1" applyAlignment="1">
      <alignment horizontal="center" vertical="center"/>
    </xf>
    <xf numFmtId="168" fontId="5" fillId="0" borderId="6" xfId="22" applyNumberFormat="1" applyFont="1" applyBorder="1" applyAlignment="1">
      <alignment vertical="top" wrapText="1"/>
    </xf>
    <xf numFmtId="2" fontId="0" fillId="0" borderId="1" xfId="0" applyNumberFormat="1" applyBorder="1" applyAlignment="1">
      <alignment horizontal="center"/>
    </xf>
    <xf numFmtId="2" fontId="0" fillId="0" borderId="1" xfId="0" applyNumberFormat="1" applyBorder="1" applyAlignment="1">
      <alignment horizontal="center" vertical="center"/>
    </xf>
    <xf numFmtId="2" fontId="0" fillId="0" borderId="1" xfId="0" applyNumberFormat="1" applyFill="1" applyBorder="1" applyAlignment="1">
      <alignment horizontal="center"/>
    </xf>
    <xf numFmtId="0" fontId="0" fillId="0" borderId="1" xfId="0" applyFill="1" applyBorder="1"/>
    <xf numFmtId="0" fontId="0" fillId="0" borderId="1" xfId="0" applyBorder="1" applyAlignment="1">
      <alignment horizontal="center"/>
    </xf>
    <xf numFmtId="0" fontId="2"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xf>
    <xf numFmtId="2" fontId="0" fillId="0" borderId="1" xfId="0" applyNumberFormat="1" applyBorder="1" applyAlignment="1">
      <alignment horizontal="center" vertical="center"/>
    </xf>
    <xf numFmtId="0" fontId="51" fillId="0" borderId="1" xfId="0" applyFont="1" applyBorder="1"/>
    <xf numFmtId="2" fontId="51" fillId="0" borderId="1" xfId="0" applyNumberFormat="1" applyFont="1" applyBorder="1"/>
    <xf numFmtId="0" fontId="61" fillId="43" borderId="1" xfId="0" applyFont="1" applyFill="1" applyBorder="1" applyAlignment="1">
      <alignment horizontal="center" vertical="center"/>
    </xf>
    <xf numFmtId="0" fontId="61" fillId="0" borderId="1" xfId="0" applyFont="1" applyBorder="1" applyAlignment="1">
      <alignment vertical="center"/>
    </xf>
    <xf numFmtId="182" fontId="61" fillId="0" borderId="1" xfId="0" applyNumberFormat="1" applyFont="1" applyBorder="1" applyAlignment="1">
      <alignment horizontal="center" vertical="center"/>
    </xf>
    <xf numFmtId="0" fontId="62" fillId="0" borderId="1" xfId="0" applyFont="1" applyBorder="1" applyAlignment="1">
      <alignment horizontal="center" vertical="center"/>
    </xf>
    <xf numFmtId="0" fontId="62" fillId="43" borderId="1" xfId="0" applyFont="1" applyFill="1" applyBorder="1" applyAlignment="1">
      <alignment horizontal="center" vertical="center"/>
    </xf>
    <xf numFmtId="182" fontId="62" fillId="0" borderId="1" xfId="0" applyNumberFormat="1" applyFont="1" applyBorder="1" applyAlignment="1">
      <alignment horizontal="center" vertical="center"/>
    </xf>
    <xf numFmtId="2" fontId="57" fillId="0" borderId="1" xfId="0" applyNumberFormat="1" applyFont="1" applyBorder="1" applyAlignment="1">
      <alignment horizontal="center" vertical="center"/>
    </xf>
    <xf numFmtId="0" fontId="57" fillId="0" borderId="1" xfId="0" applyFont="1" applyBorder="1"/>
    <xf numFmtId="2" fontId="57" fillId="0" borderId="1" xfId="0" applyNumberFormat="1" applyFont="1" applyBorder="1" applyAlignment="1">
      <alignment horizontal="center"/>
    </xf>
    <xf numFmtId="0" fontId="57" fillId="0" borderId="1" xfId="0" applyFont="1" applyBorder="1" applyAlignment="1">
      <alignment horizontal="center"/>
    </xf>
    <xf numFmtId="0" fontId="57" fillId="0" borderId="1" xfId="0" applyFont="1" applyBorder="1" applyAlignment="1">
      <alignment horizontal="center" vertical="center" wrapText="1"/>
    </xf>
    <xf numFmtId="2" fontId="56" fillId="42" borderId="1" xfId="205" applyNumberFormat="1" applyFont="1" applyFill="1" applyBorder="1" applyAlignment="1">
      <alignment horizontal="center" vertical="center" wrapText="1"/>
    </xf>
    <xf numFmtId="0" fontId="0" fillId="0" borderId="1" xfId="0" applyBorder="1" applyAlignment="1">
      <alignment horizontal="center" vertical="center" wrapText="1"/>
    </xf>
    <xf numFmtId="2" fontId="57" fillId="0" borderId="1" xfId="0" applyNumberFormat="1" applyFon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xf>
    <xf numFmtId="0" fontId="66" fillId="0" borderId="1" xfId="0" applyFont="1" applyBorder="1"/>
    <xf numFmtId="0" fontId="0" fillId="0" borderId="1" xfId="0" applyBorder="1" applyAlignment="1">
      <alignment horizontal="center" vertical="top"/>
    </xf>
    <xf numFmtId="2" fontId="1" fillId="0" borderId="1" xfId="0" applyNumberFormat="1" applyFont="1" applyBorder="1" applyAlignment="1">
      <alignment horizontal="center"/>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1" fillId="0" borderId="6" xfId="0" applyFont="1" applyBorder="1" applyAlignment="1">
      <alignment horizontal="left" vertical="center" wrapText="1"/>
    </xf>
    <xf numFmtId="0" fontId="60" fillId="0" borderId="1" xfId="0" applyFont="1" applyBorder="1"/>
    <xf numFmtId="2" fontId="2" fillId="0" borderId="1" xfId="0" applyNumberFormat="1" applyFont="1" applyBorder="1" applyAlignment="1">
      <alignment horizontal="center"/>
    </xf>
    <xf numFmtId="2" fontId="66" fillId="0" borderId="1" xfId="0" applyNumberFormat="1" applyFont="1" applyBorder="1" applyAlignment="1">
      <alignment horizontal="center"/>
    </xf>
    <xf numFmtId="2" fontId="3" fillId="0" borderId="1" xfId="0" applyNumberFormat="1" applyFont="1" applyBorder="1" applyAlignment="1">
      <alignment horizontal="center"/>
    </xf>
    <xf numFmtId="0" fontId="3" fillId="0" borderId="1" xfId="0" applyFont="1" applyBorder="1"/>
    <xf numFmtId="165" fontId="0" fillId="0" borderId="1" xfId="0" applyNumberFormat="1" applyBorder="1" applyAlignment="1">
      <alignment horizontal="center"/>
    </xf>
    <xf numFmtId="0" fontId="0" fillId="0" borderId="1" xfId="0" applyFill="1" applyBorder="1" applyAlignment="1">
      <alignment horizontal="center"/>
    </xf>
    <xf numFmtId="0" fontId="66" fillId="0" borderId="1" xfId="0" applyFont="1" applyBorder="1" applyAlignment="1">
      <alignment horizontal="center"/>
    </xf>
    <xf numFmtId="166" fontId="0" fillId="0" borderId="1" xfId="0" applyNumberFormat="1" applyBorder="1" applyAlignment="1">
      <alignment horizontal="center"/>
    </xf>
    <xf numFmtId="165" fontId="0" fillId="0" borderId="1" xfId="0" applyNumberFormat="1" applyBorder="1" applyAlignment="1">
      <alignment horizontal="center" vertical="center"/>
    </xf>
    <xf numFmtId="0" fontId="69" fillId="0" borderId="1" xfId="0" applyFont="1" applyBorder="1"/>
    <xf numFmtId="164" fontId="66" fillId="0" borderId="1" xfId="0" applyNumberFormat="1" applyFont="1" applyBorder="1" applyAlignment="1">
      <alignment horizontal="center" vertical="center"/>
    </xf>
    <xf numFmtId="164" fontId="57" fillId="0" borderId="1" xfId="199" applyFont="1" applyBorder="1" applyAlignment="1"/>
    <xf numFmtId="2" fontId="57" fillId="0" borderId="1" xfId="0" applyNumberFormat="1" applyFont="1" applyBorder="1" applyAlignment="1">
      <alignment horizontal="right" vertical="top"/>
    </xf>
    <xf numFmtId="164" fontId="0" fillId="0" borderId="1" xfId="199" applyFont="1" applyBorder="1" applyAlignment="1">
      <alignment horizontal="right"/>
    </xf>
    <xf numFmtId="0" fontId="51" fillId="0" borderId="1" xfId="0" applyFont="1" applyBorder="1" applyAlignment="1">
      <alignment horizontal="center" vertical="center" wrapText="1"/>
    </xf>
    <xf numFmtId="0" fontId="51" fillId="0" borderId="1" xfId="0" applyFont="1" applyBorder="1" applyAlignment="1">
      <alignment horizontal="center"/>
    </xf>
    <xf numFmtId="2" fontId="51" fillId="0" borderId="1" xfId="0" applyNumberFormat="1" applyFont="1" applyBorder="1" applyAlignment="1">
      <alignment horizontal="center"/>
    </xf>
    <xf numFmtId="0" fontId="2" fillId="0" borderId="1" xfId="0" applyFont="1" applyBorder="1" applyAlignment="1">
      <alignment horizontal="center"/>
    </xf>
    <xf numFmtId="0" fontId="2" fillId="0" borderId="18" xfId="0" applyFont="1" applyBorder="1" applyAlignment="1">
      <alignment horizontal="center"/>
    </xf>
    <xf numFmtId="2" fontId="51" fillId="0" borderId="1" xfId="0" applyNumberFormat="1" applyFont="1" applyBorder="1" applyAlignment="1">
      <alignment horizontal="center" vertical="center" wrapText="1"/>
    </xf>
    <xf numFmtId="0" fontId="51" fillId="0" borderId="23" xfId="0" applyFont="1" applyBorder="1" applyAlignment="1">
      <alignment horizontal="center"/>
    </xf>
    <xf numFmtId="0" fontId="2" fillId="0" borderId="23" xfId="0" applyFont="1" applyBorder="1" applyAlignment="1">
      <alignment horizontal="left" vertical="center"/>
    </xf>
    <xf numFmtId="0" fontId="2" fillId="0" borderId="2" xfId="0" applyFont="1" applyBorder="1" applyAlignment="1">
      <alignment horizontal="left"/>
    </xf>
    <xf numFmtId="0" fontId="51" fillId="0" borderId="2" xfId="0" applyFont="1" applyBorder="1" applyAlignment="1">
      <alignment horizontal="center" vertical="center"/>
    </xf>
    <xf numFmtId="0" fontId="51" fillId="0" borderId="2" xfId="0" applyFont="1" applyBorder="1" applyAlignment="1">
      <alignment horizontal="center"/>
    </xf>
    <xf numFmtId="2" fontId="51" fillId="0" borderId="18" xfId="0" applyNumberFormat="1" applyFont="1" applyBorder="1" applyAlignment="1">
      <alignment horizontal="center"/>
    </xf>
    <xf numFmtId="0" fontId="0" fillId="0" borderId="0" xfId="0" applyBorder="1" applyAlignment="1">
      <alignment horizontal="center"/>
    </xf>
    <xf numFmtId="0" fontId="2" fillId="0" borderId="1" xfId="0" applyFont="1" applyBorder="1" applyAlignment="1">
      <alignment vertical="center" wrapText="1"/>
    </xf>
    <xf numFmtId="2" fontId="2" fillId="0" borderId="1" xfId="0" applyNumberFormat="1" applyFont="1" applyBorder="1" applyAlignment="1">
      <alignment horizontal="center" vertical="center"/>
    </xf>
    <xf numFmtId="2" fontId="51" fillId="0" borderId="1" xfId="0" applyNumberFormat="1" applyFont="1" applyBorder="1" applyAlignment="1">
      <alignment horizontal="center" vertical="center"/>
    </xf>
    <xf numFmtId="164" fontId="51" fillId="0" borderId="1" xfId="199" applyFont="1" applyBorder="1" applyAlignment="1">
      <alignment horizontal="center"/>
    </xf>
    <xf numFmtId="0" fontId="0" fillId="0" borderId="1" xfId="0" applyBorder="1" applyAlignment="1">
      <alignment horizontal="center"/>
    </xf>
    <xf numFmtId="2" fontId="51" fillId="0" borderId="1" xfId="0" applyNumberFormat="1" applyFont="1" applyBorder="1" applyAlignment="1">
      <alignment horizontal="center" wrapText="1"/>
    </xf>
    <xf numFmtId="2" fontId="51" fillId="0" borderId="6" xfId="0" applyNumberFormat="1" applyFont="1" applyBorder="1" applyAlignment="1">
      <alignment horizontal="center" wrapText="1"/>
    </xf>
    <xf numFmtId="2" fontId="51" fillId="0" borderId="18" xfId="0" applyNumberFormat="1" applyFont="1" applyBorder="1" applyAlignment="1">
      <alignment horizontal="center" wrapText="1"/>
    </xf>
    <xf numFmtId="2" fontId="3" fillId="0" borderId="1" xfId="0" applyNumberFormat="1" applyFont="1" applyBorder="1" applyAlignment="1">
      <alignment horizontal="center" wrapText="1"/>
    </xf>
    <xf numFmtId="0" fontId="0" fillId="0" borderId="1" xfId="0" applyFont="1" applyBorder="1" applyAlignment="1">
      <alignment horizontal="center" vertical="center" wrapText="1"/>
    </xf>
    <xf numFmtId="0" fontId="1" fillId="0" borderId="1" xfId="0" applyFont="1" applyBorder="1" applyAlignment="1">
      <alignment horizontal="left" vertical="center" wrapText="1"/>
    </xf>
    <xf numFmtId="2" fontId="0" fillId="0" borderId="1" xfId="0" applyNumberFormat="1" applyFont="1" applyBorder="1" applyAlignment="1">
      <alignment horizontal="center" wrapText="1"/>
    </xf>
    <xf numFmtId="2" fontId="0" fillId="0" borderId="18" xfId="0" applyNumberFormat="1" applyFont="1" applyBorder="1" applyAlignment="1">
      <alignment horizontal="center" wrapText="1"/>
    </xf>
    <xf numFmtId="0" fontId="5" fillId="42" borderId="18" xfId="208" applyFont="1" applyFill="1" applyBorder="1" applyAlignment="1">
      <alignment horizontal="left" vertical="top" wrapText="1"/>
    </xf>
    <xf numFmtId="0" fontId="5" fillId="42" borderId="1" xfId="208" applyFont="1" applyFill="1" applyBorder="1" applyAlignment="1">
      <alignment horizontal="left" vertical="top" wrapText="1"/>
    </xf>
    <xf numFmtId="0" fontId="57" fillId="0" borderId="1" xfId="0" applyFont="1" applyBorder="1" applyAlignment="1">
      <alignment horizontal="left"/>
    </xf>
    <xf numFmtId="2" fontId="0" fillId="0" borderId="1" xfId="0" applyNumberFormat="1" applyFont="1" applyBorder="1" applyAlignment="1">
      <alignment horizontal="center"/>
    </xf>
    <xf numFmtId="0" fontId="66" fillId="0" borderId="1" xfId="0" applyFont="1" applyBorder="1" applyAlignment="1">
      <alignment horizontal="left"/>
    </xf>
    <xf numFmtId="0" fontId="71" fillId="42" borderId="1" xfId="208" applyFont="1" applyFill="1" applyBorder="1" applyAlignment="1">
      <alignment horizontal="left" vertical="top" wrapText="1"/>
    </xf>
    <xf numFmtId="1" fontId="0" fillId="0" borderId="1" xfId="0" applyNumberFormat="1" applyFont="1" applyBorder="1" applyAlignment="1">
      <alignment horizontal="center"/>
    </xf>
    <xf numFmtId="0" fontId="57" fillId="0" borderId="1" xfId="0" applyFont="1" applyBorder="1" applyAlignment="1">
      <alignment vertical="center" wrapText="1"/>
    </xf>
    <xf numFmtId="2" fontId="0" fillId="0" borderId="1" xfId="0" applyNumberFormat="1" applyBorder="1" applyAlignment="1"/>
    <xf numFmtId="2" fontId="0" fillId="0" borderId="1" xfId="0" applyNumberFormat="1" applyBorder="1" applyAlignment="1">
      <alignment horizontal="left" vertical="center"/>
    </xf>
    <xf numFmtId="2" fontId="0" fillId="0" borderId="1" xfId="0" applyNumberFormat="1" applyBorder="1" applyAlignment="1">
      <alignment horizontal="right"/>
    </xf>
    <xf numFmtId="0" fontId="0" fillId="0" borderId="6" xfId="0" applyBorder="1" applyAlignment="1"/>
    <xf numFmtId="0" fontId="0" fillId="0" borderId="18" xfId="0" applyBorder="1" applyAlignment="1"/>
    <xf numFmtId="0" fontId="0" fillId="0" borderId="16" xfId="0" applyBorder="1"/>
    <xf numFmtId="2" fontId="56" fillId="42" borderId="6" xfId="169" applyNumberFormat="1" applyFont="1" applyFill="1" applyBorder="1" applyAlignment="1">
      <alignment vertical="center" wrapText="1"/>
    </xf>
    <xf numFmtId="182" fontId="72" fillId="0" borderId="1" xfId="0" applyNumberFormat="1" applyFont="1" applyFill="1" applyBorder="1" applyAlignment="1">
      <alignment horizontal="center" vertical="center"/>
    </xf>
    <xf numFmtId="2" fontId="73" fillId="0" borderId="1" xfId="86" applyNumberFormat="1" applyFont="1" applyFill="1" applyBorder="1" applyAlignment="1" applyProtection="1">
      <alignment horizontal="center" vertical="center"/>
    </xf>
    <xf numFmtId="183" fontId="72" fillId="0" borderId="1" xfId="86" applyNumberFormat="1" applyFont="1" applyFill="1" applyBorder="1" applyAlignment="1" applyProtection="1">
      <alignment horizontal="center" vertical="center"/>
    </xf>
    <xf numFmtId="2" fontId="72" fillId="0" borderId="1" xfId="209" applyNumberFormat="1" applyFont="1" applyFill="1" applyBorder="1" applyAlignment="1">
      <alignment horizontal="center" vertical="center"/>
    </xf>
    <xf numFmtId="184" fontId="72" fillId="0" borderId="1" xfId="0" applyNumberFormat="1" applyFont="1" applyFill="1" applyBorder="1" applyAlignment="1">
      <alignment horizontal="center" vertical="center"/>
    </xf>
    <xf numFmtId="2" fontId="72" fillId="0" borderId="1" xfId="0" applyNumberFormat="1" applyFont="1" applyFill="1" applyBorder="1" applyAlignment="1">
      <alignment horizontal="center" vertical="center"/>
    </xf>
    <xf numFmtId="185" fontId="72" fillId="0" borderId="1" xfId="0" applyNumberFormat="1" applyFont="1" applyFill="1" applyBorder="1" applyAlignment="1">
      <alignment horizontal="center" vertical="center"/>
    </xf>
    <xf numFmtId="0" fontId="72" fillId="0" borderId="1" xfId="0" applyFont="1" applyFill="1" applyBorder="1" applyAlignment="1">
      <alignment horizontal="center" vertical="center"/>
    </xf>
    <xf numFmtId="2" fontId="78" fillId="0" borderId="1" xfId="0" applyNumberFormat="1" applyFont="1" applyBorder="1" applyAlignment="1">
      <alignment horizontal="center" vertical="center"/>
    </xf>
    <xf numFmtId="2" fontId="76" fillId="0" borderId="1" xfId="0" applyNumberFormat="1" applyFont="1" applyBorder="1" applyAlignment="1">
      <alignment horizontal="center" vertical="center"/>
    </xf>
    <xf numFmtId="2" fontId="77"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2" fontId="6" fillId="42" borderId="1" xfId="211" applyNumberFormat="1" applyFont="1" applyFill="1" applyBorder="1" applyAlignment="1">
      <alignment horizontal="right" vertical="center"/>
    </xf>
    <xf numFmtId="0" fontId="55" fillId="42" borderId="1" xfId="22" applyFont="1" applyFill="1" applyBorder="1" applyAlignment="1">
      <alignment horizontal="center" vertical="center"/>
    </xf>
    <xf numFmtId="0" fontId="82" fillId="0" borderId="1" xfId="0" applyFont="1" applyBorder="1" applyAlignment="1">
      <alignment horizontal="center" vertical="center"/>
    </xf>
    <xf numFmtId="2" fontId="84" fillId="42" borderId="1" xfId="206" applyNumberFormat="1" applyFont="1" applyFill="1" applyBorder="1" applyAlignment="1">
      <alignment horizontal="center" vertical="center" wrapText="1"/>
    </xf>
    <xf numFmtId="2" fontId="82" fillId="0" borderId="1" xfId="0" applyNumberFormat="1" applyFont="1" applyBorder="1" applyAlignment="1">
      <alignment horizontal="center" vertical="center"/>
    </xf>
    <xf numFmtId="0" fontId="83" fillId="0" borderId="1" xfId="0" applyFont="1" applyBorder="1"/>
    <xf numFmtId="164" fontId="82" fillId="0" borderId="1" xfId="199" applyNumberFormat="1" applyFont="1" applyBorder="1" applyAlignment="1">
      <alignment vertical="center"/>
    </xf>
    <xf numFmtId="2" fontId="82" fillId="0" borderId="1" xfId="0" applyNumberFormat="1" applyFont="1" applyBorder="1" applyAlignment="1">
      <alignment horizontal="center"/>
    </xf>
    <xf numFmtId="0" fontId="82" fillId="0" borderId="1" xfId="0" applyFont="1" applyBorder="1" applyAlignment="1">
      <alignment vertical="center"/>
    </xf>
    <xf numFmtId="0" fontId="82" fillId="0" borderId="1" xfId="0" applyFont="1" applyBorder="1" applyAlignment="1">
      <alignment horizontal="center"/>
    </xf>
    <xf numFmtId="0" fontId="82" fillId="42" borderId="1" xfId="205" applyFont="1" applyFill="1" applyBorder="1" applyAlignment="1">
      <alignment horizontal="center" vertical="center" wrapText="1"/>
    </xf>
    <xf numFmtId="2" fontId="82" fillId="42" borderId="1" xfId="205" applyNumberFormat="1" applyFont="1" applyFill="1" applyBorder="1" applyAlignment="1">
      <alignment horizontal="center" vertical="center" wrapText="1"/>
    </xf>
    <xf numFmtId="0" fontId="83" fillId="0" borderId="1" xfId="0" applyFont="1" applyBorder="1" applyAlignment="1">
      <alignment horizontal="center" vertical="center"/>
    </xf>
    <xf numFmtId="2" fontId="83" fillId="0" borderId="1" xfId="0" applyNumberFormat="1" applyFont="1" applyBorder="1" applyAlignment="1">
      <alignment horizontal="center" vertical="center"/>
    </xf>
    <xf numFmtId="0" fontId="82" fillId="42" borderId="1" xfId="169" applyFont="1" applyFill="1" applyBorder="1" applyAlignment="1">
      <alignment horizontal="center" vertical="center" wrapText="1"/>
    </xf>
    <xf numFmtId="0" fontId="82" fillId="42" borderId="1" xfId="0" applyFont="1" applyFill="1" applyBorder="1" applyAlignment="1">
      <alignment horizontal="center" vertical="center"/>
    </xf>
    <xf numFmtId="2" fontId="82" fillId="42" borderId="1" xfId="0" applyNumberFormat="1" applyFont="1" applyFill="1" applyBorder="1" applyAlignment="1">
      <alignment horizontal="center" vertical="center"/>
    </xf>
    <xf numFmtId="0" fontId="82" fillId="0" borderId="1" xfId="0" applyFont="1" applyBorder="1" applyAlignment="1">
      <alignment horizontal="center" vertical="center" wrapText="1"/>
    </xf>
    <xf numFmtId="2" fontId="82" fillId="42" borderId="23" xfId="205" applyNumberFormat="1" applyFont="1" applyFill="1" applyBorder="1" applyAlignment="1">
      <alignment horizontal="center" vertical="center" wrapText="1"/>
    </xf>
    <xf numFmtId="0" fontId="82" fillId="42" borderId="23" xfId="205" applyFont="1" applyFill="1" applyBorder="1" applyAlignment="1">
      <alignment horizontal="center" vertical="center" wrapText="1"/>
    </xf>
    <xf numFmtId="2" fontId="82" fillId="0" borderId="23" xfId="0" applyNumberFormat="1" applyFont="1" applyBorder="1" applyAlignment="1">
      <alignment horizontal="center" vertical="center"/>
    </xf>
    <xf numFmtId="0" fontId="82" fillId="42" borderId="1" xfId="205" applyFont="1" applyFill="1" applyBorder="1" applyAlignment="1">
      <alignment horizontal="center" vertical="center"/>
    </xf>
    <xf numFmtId="0" fontId="83" fillId="0" borderId="1" xfId="0" applyFont="1" applyBorder="1" applyAlignment="1">
      <alignment vertical="center"/>
    </xf>
    <xf numFmtId="2" fontId="82" fillId="42" borderId="1" xfId="205" applyNumberFormat="1" applyFont="1" applyFill="1" applyBorder="1" applyAlignment="1">
      <alignment horizontal="center" vertical="center"/>
    </xf>
    <xf numFmtId="2" fontId="83" fillId="0" borderId="1" xfId="0" applyNumberFormat="1" applyFont="1" applyBorder="1" applyAlignment="1">
      <alignment horizontal="center"/>
    </xf>
    <xf numFmtId="0" fontId="83" fillId="0" borderId="1" xfId="0" applyFont="1" applyBorder="1" applyAlignment="1">
      <alignment vertical="center" wrapText="1"/>
    </xf>
    <xf numFmtId="2" fontId="82" fillId="0" borderId="1" xfId="0" applyNumberFormat="1" applyFont="1" applyBorder="1" applyAlignment="1">
      <alignment vertical="center"/>
    </xf>
    <xf numFmtId="0" fontId="83" fillId="0" borderId="1" xfId="0" applyFont="1" applyBorder="1" applyAlignment="1">
      <alignment wrapText="1"/>
    </xf>
    <xf numFmtId="0" fontId="83" fillId="0" borderId="1" xfId="0" applyFont="1" applyBorder="1" applyAlignment="1">
      <alignment horizontal="center"/>
    </xf>
    <xf numFmtId="0" fontId="90" fillId="0" borderId="1" xfId="0" applyFont="1" applyBorder="1"/>
    <xf numFmtId="0" fontId="87" fillId="0" borderId="1" xfId="0" applyFont="1" applyBorder="1" applyAlignment="1">
      <alignment horizontal="center" vertical="center"/>
    </xf>
    <xf numFmtId="2" fontId="97" fillId="0" borderId="1" xfId="0" applyNumberFormat="1" applyFont="1" applyBorder="1" applyAlignment="1">
      <alignment horizontal="center" vertical="center"/>
    </xf>
    <xf numFmtId="0" fontId="87" fillId="0" borderId="1" xfId="0" applyFont="1" applyBorder="1" applyAlignment="1">
      <alignment horizontal="center"/>
    </xf>
    <xf numFmtId="0" fontId="87" fillId="42" borderId="1" xfId="0" applyFont="1" applyFill="1" applyBorder="1" applyAlignment="1">
      <alignment horizontal="center" vertical="center"/>
    </xf>
    <xf numFmtId="0" fontId="100" fillId="0" borderId="1" xfId="0" applyFont="1" applyBorder="1" applyAlignment="1">
      <alignment horizontal="center"/>
    </xf>
    <xf numFmtId="2" fontId="84" fillId="0" borderId="1" xfId="0" applyNumberFormat="1" applyFont="1" applyBorder="1" applyAlignment="1">
      <alignment horizontal="center"/>
    </xf>
    <xf numFmtId="2" fontId="84" fillId="0" borderId="1" xfId="0" applyNumberFormat="1" applyFont="1" applyBorder="1" applyAlignment="1">
      <alignment horizontal="center" vertical="center"/>
    </xf>
    <xf numFmtId="0" fontId="101" fillId="42" borderId="1" xfId="0" applyFont="1" applyFill="1" applyBorder="1" applyAlignment="1">
      <alignment horizontal="center" vertical="center"/>
    </xf>
    <xf numFmtId="0" fontId="101" fillId="0" borderId="1" xfId="0" applyFont="1" applyBorder="1" applyAlignment="1">
      <alignment horizontal="center" vertical="center"/>
    </xf>
    <xf numFmtId="0" fontId="102" fillId="42" borderId="1" xfId="205" applyFont="1" applyFill="1" applyBorder="1" applyAlignment="1">
      <alignment horizontal="center" vertical="center" wrapText="1"/>
    </xf>
    <xf numFmtId="2" fontId="82" fillId="42" borderId="16" xfId="205" applyNumberFormat="1" applyFont="1" applyFill="1" applyBorder="1" applyAlignment="1">
      <alignment horizontal="center" vertical="center" wrapText="1"/>
    </xf>
    <xf numFmtId="0" fontId="82" fillId="42" borderId="16" xfId="205" applyFont="1" applyFill="1" applyBorder="1" applyAlignment="1">
      <alignment horizontal="center" vertical="center" wrapText="1"/>
    </xf>
    <xf numFmtId="2" fontId="82" fillId="42" borderId="18" xfId="205" applyNumberFormat="1" applyFont="1" applyFill="1" applyBorder="1" applyAlignment="1">
      <alignment horizontal="center" vertical="center" wrapText="1"/>
    </xf>
    <xf numFmtId="0" fontId="101" fillId="0" borderId="1" xfId="0" applyFont="1" applyBorder="1" applyAlignment="1">
      <alignment horizontal="center"/>
    </xf>
    <xf numFmtId="0" fontId="83" fillId="0" borderId="18" xfId="0" applyFont="1" applyBorder="1" applyAlignment="1">
      <alignment vertical="center" wrapText="1"/>
    </xf>
    <xf numFmtId="0" fontId="83" fillId="0" borderId="1" xfId="0" applyFont="1" applyBorder="1" applyAlignment="1">
      <alignment horizontal="center" vertical="center" wrapText="1"/>
    </xf>
    <xf numFmtId="2" fontId="83" fillId="0" borderId="1" xfId="0" applyNumberFormat="1" applyFont="1" applyBorder="1" applyAlignment="1">
      <alignment horizontal="center" vertical="center" wrapText="1"/>
    </xf>
    <xf numFmtId="0" fontId="83" fillId="0" borderId="1" xfId="0" applyFont="1" applyBorder="1" applyAlignment="1">
      <alignment horizontal="center" wrapText="1"/>
    </xf>
    <xf numFmtId="2" fontId="83" fillId="0" borderId="1" xfId="0" applyNumberFormat="1" applyFont="1" applyBorder="1" applyAlignment="1">
      <alignment horizontal="center" wrapText="1"/>
    </xf>
    <xf numFmtId="0" fontId="83" fillId="0" borderId="6" xfId="0" applyFont="1" applyBorder="1" applyAlignment="1">
      <alignment horizontal="center" vertical="center"/>
    </xf>
    <xf numFmtId="2" fontId="100" fillId="0" borderId="1" xfId="211" applyNumberFormat="1" applyFont="1" applyFill="1" applyBorder="1" applyAlignment="1">
      <alignment horizontal="center" vertical="center" wrapText="1"/>
    </xf>
    <xf numFmtId="168" fontId="84" fillId="0" borderId="1" xfId="165" applyNumberFormat="1" applyFont="1" applyBorder="1" applyAlignment="1">
      <alignment horizontal="center" vertical="center" wrapText="1"/>
    </xf>
    <xf numFmtId="168" fontId="103" fillId="0" borderId="1" xfId="165" applyNumberFormat="1" applyFont="1" applyBorder="1" applyAlignment="1">
      <alignment horizontal="center" vertical="center" wrapText="1"/>
    </xf>
    <xf numFmtId="168" fontId="84" fillId="0" borderId="1" xfId="22" applyNumberFormat="1" applyFont="1" applyBorder="1" applyAlignment="1">
      <alignment horizontal="center" vertical="center" wrapText="1"/>
    </xf>
    <xf numFmtId="2" fontId="84" fillId="0" borderId="1" xfId="22" applyNumberFormat="1" applyFont="1" applyBorder="1" applyAlignment="1">
      <alignment horizontal="center" vertical="center" wrapText="1"/>
    </xf>
    <xf numFmtId="2" fontId="103" fillId="0" borderId="1" xfId="22" applyNumberFormat="1" applyFont="1" applyBorder="1" applyAlignment="1">
      <alignment horizontal="center" vertical="center"/>
    </xf>
    <xf numFmtId="0" fontId="104" fillId="0" borderId="1" xfId="0" applyFont="1" applyBorder="1" applyAlignment="1">
      <alignment vertical="center" wrapText="1"/>
    </xf>
    <xf numFmtId="4" fontId="82" fillId="42" borderId="1" xfId="0" applyNumberFormat="1" applyFont="1" applyFill="1" applyBorder="1" applyAlignment="1">
      <alignment horizontal="center" vertical="center" wrapText="1"/>
    </xf>
    <xf numFmtId="4" fontId="82" fillId="0" borderId="1" xfId="0" applyNumberFormat="1" applyFont="1" applyBorder="1" applyAlignment="1">
      <alignment horizontal="center" vertical="center" wrapText="1"/>
    </xf>
    <xf numFmtId="2" fontId="82" fillId="0" borderId="1" xfId="0" applyNumberFormat="1" applyFont="1" applyBorder="1" applyAlignment="1">
      <alignment horizontal="center" vertical="center" wrapText="1"/>
    </xf>
    <xf numFmtId="0" fontId="82" fillId="0" borderId="23" xfId="0" applyFont="1" applyBorder="1" applyAlignment="1">
      <alignment horizontal="center" vertical="center" wrapText="1"/>
    </xf>
    <xf numFmtId="0" fontId="87" fillId="0" borderId="1" xfId="0" applyFont="1" applyFill="1" applyBorder="1" applyAlignment="1">
      <alignment horizontal="center" vertical="center"/>
    </xf>
    <xf numFmtId="2" fontId="82" fillId="0" borderId="1" xfId="0" applyNumberFormat="1" applyFont="1" applyFill="1" applyBorder="1" applyAlignment="1">
      <alignment horizontal="center" vertical="center"/>
    </xf>
    <xf numFmtId="2" fontId="97" fillId="0" borderId="1" xfId="0" applyNumberFormat="1" applyFont="1" applyFill="1" applyBorder="1" applyAlignment="1">
      <alignment horizontal="center" vertical="center"/>
    </xf>
    <xf numFmtId="2" fontId="76" fillId="42" borderId="1" xfId="0" applyNumberFormat="1" applyFont="1" applyFill="1" applyBorder="1" applyAlignment="1">
      <alignment horizontal="center" vertical="center"/>
    </xf>
    <xf numFmtId="0" fontId="0" fillId="0" borderId="1" xfId="0" applyBorder="1" applyAlignment="1">
      <alignment horizontal="center"/>
    </xf>
    <xf numFmtId="0" fontId="0" fillId="0" borderId="6" xfId="0" applyBorder="1" applyAlignment="1">
      <alignment horizontal="center"/>
    </xf>
    <xf numFmtId="0" fontId="89" fillId="0" borderId="6" xfId="0" applyFont="1" applyBorder="1" applyAlignment="1">
      <alignment horizontal="left"/>
    </xf>
    <xf numFmtId="0" fontId="98" fillId="0" borderId="16" xfId="0" applyFont="1" applyBorder="1" applyAlignment="1">
      <alignment horizontal="left" vertical="center" wrapText="1"/>
    </xf>
    <xf numFmtId="0" fontId="98" fillId="0" borderId="18" xfId="0" applyFont="1" applyBorder="1" applyAlignment="1">
      <alignment horizontal="left" vertical="center" wrapText="1"/>
    </xf>
    <xf numFmtId="0" fontId="99" fillId="0" borderId="6" xfId="0" applyFont="1" applyBorder="1" applyAlignment="1">
      <alignment horizontal="left"/>
    </xf>
    <xf numFmtId="0" fontId="99" fillId="0" borderId="16" xfId="0" applyFont="1" applyBorder="1" applyAlignment="1">
      <alignment horizontal="left"/>
    </xf>
    <xf numFmtId="0" fontId="99" fillId="0" borderId="18" xfId="0" applyFont="1" applyBorder="1" applyAlignment="1">
      <alignment horizontal="left"/>
    </xf>
    <xf numFmtId="2" fontId="82" fillId="42" borderId="6" xfId="169" applyNumberFormat="1" applyFont="1" applyFill="1" applyBorder="1" applyAlignment="1">
      <alignment horizontal="left" vertical="center" wrapText="1"/>
    </xf>
    <xf numFmtId="2" fontId="82" fillId="42" borderId="16" xfId="169" applyNumberFormat="1" applyFont="1" applyFill="1" applyBorder="1" applyAlignment="1">
      <alignment horizontal="left" vertical="center" wrapText="1"/>
    </xf>
    <xf numFmtId="2" fontId="82" fillId="42" borderId="18" xfId="169" applyNumberFormat="1" applyFont="1" applyFill="1" applyBorder="1" applyAlignment="1">
      <alignment horizontal="left" vertical="center" wrapText="1"/>
    </xf>
    <xf numFmtId="0" fontId="83" fillId="0" borderId="6" xfId="0" applyFont="1" applyBorder="1" applyAlignment="1">
      <alignment horizontal="left" vertical="center" wrapText="1"/>
    </xf>
    <xf numFmtId="0" fontId="83" fillId="0" borderId="16" xfId="0" applyFont="1" applyBorder="1" applyAlignment="1">
      <alignment horizontal="left" vertical="center" wrapText="1"/>
    </xf>
    <xf numFmtId="0" fontId="83" fillId="0" borderId="18" xfId="0" applyFont="1" applyBorder="1" applyAlignment="1">
      <alignment horizontal="left" vertical="center" wrapText="1"/>
    </xf>
    <xf numFmtId="2" fontId="1" fillId="0" borderId="16" xfId="0" applyNumberFormat="1" applyFont="1" applyBorder="1" applyAlignment="1">
      <alignment horizontal="center"/>
    </xf>
    <xf numFmtId="0" fontId="83" fillId="4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6" xfId="0"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2" fontId="82" fillId="42" borderId="16" xfId="169" applyNumberFormat="1" applyFont="1" applyFill="1" applyBorder="1" applyAlignment="1">
      <alignment horizontal="left" vertical="center" wrapText="1"/>
    </xf>
    <xf numFmtId="2" fontId="82" fillId="42" borderId="18" xfId="169" applyNumberFormat="1" applyFont="1" applyFill="1" applyBorder="1" applyAlignment="1">
      <alignment horizontal="left" vertical="center" wrapText="1"/>
    </xf>
    <xf numFmtId="0" fontId="98" fillId="0" borderId="16" xfId="0" applyFont="1" applyBorder="1" applyAlignment="1">
      <alignment horizontal="left" vertical="center" wrapText="1"/>
    </xf>
    <xf numFmtId="0" fontId="98" fillId="0" borderId="18" xfId="0" applyFont="1" applyBorder="1" applyAlignment="1">
      <alignment horizontal="left" vertical="center" wrapText="1"/>
    </xf>
    <xf numFmtId="0" fontId="61" fillId="0" borderId="1" xfId="0" applyFont="1" applyBorder="1" applyAlignment="1">
      <alignment horizontal="center" vertical="center"/>
    </xf>
    <xf numFmtId="0" fontId="0" fillId="0" borderId="1" xfId="0" applyBorder="1" applyAlignment="1">
      <alignment horizontal="left" vertical="center" wrapText="1"/>
    </xf>
    <xf numFmtId="0" fontId="59" fillId="0" borderId="1" xfId="0" applyFont="1" applyBorder="1" applyAlignment="1">
      <alignment horizontal="left" vertical="center" wrapText="1"/>
    </xf>
    <xf numFmtId="0" fontId="76" fillId="42" borderId="1" xfId="0" applyFont="1" applyFill="1" applyBorder="1" applyAlignment="1">
      <alignment horizontal="center" vertical="center"/>
    </xf>
    <xf numFmtId="2" fontId="105" fillId="42" borderId="1" xfId="211" applyNumberFormat="1" applyFont="1" applyFill="1" applyBorder="1" applyAlignment="1">
      <alignment horizontal="right" vertical="center"/>
    </xf>
    <xf numFmtId="0" fontId="0" fillId="0" borderId="16" xfId="0" applyBorder="1" applyAlignment="1"/>
    <xf numFmtId="0" fontId="0" fillId="0" borderId="1" xfId="0" applyBorder="1" applyAlignment="1">
      <alignment vertical="center" wrapText="1"/>
    </xf>
    <xf numFmtId="164" fontId="66" fillId="0" borderId="0" xfId="0" applyNumberFormat="1" applyFont="1" applyBorder="1" applyAlignment="1">
      <alignment horizontal="center" vertical="center"/>
    </xf>
    <xf numFmtId="0" fontId="51" fillId="0" borderId="1" xfId="0" applyFont="1" applyFill="1" applyBorder="1" applyAlignment="1">
      <alignment horizontal="center" vertical="center"/>
    </xf>
    <xf numFmtId="0" fontId="50" fillId="0" borderId="1" xfId="0" applyFont="1" applyBorder="1" applyAlignment="1">
      <alignment horizontal="left" vertical="center"/>
    </xf>
    <xf numFmtId="0" fontId="87" fillId="42" borderId="1" xfId="0" applyFont="1" applyFill="1" applyBorder="1" applyAlignment="1">
      <alignment horizontal="center"/>
    </xf>
    <xf numFmtId="0" fontId="0" fillId="0" borderId="0" xfId="0" applyBorder="1" applyAlignment="1">
      <alignment horizontal="center" vertical="center"/>
    </xf>
    <xf numFmtId="0" fontId="60" fillId="0" borderId="1" xfId="0" applyFont="1" applyBorder="1" applyAlignment="1">
      <alignment horizontal="center" vertical="center"/>
    </xf>
    <xf numFmtId="0" fontId="60" fillId="0" borderId="1" xfId="0" applyFont="1" applyBorder="1" applyAlignment="1">
      <alignment horizontal="center" vertical="top"/>
    </xf>
    <xf numFmtId="0" fontId="60" fillId="0" borderId="0" xfId="0" applyFont="1" applyAlignment="1">
      <alignment horizontal="center" vertical="center"/>
    </xf>
    <xf numFmtId="0" fontId="2" fillId="0" borderId="0" xfId="0" applyFont="1" applyBorder="1" applyAlignment="1">
      <alignment horizontal="left"/>
    </xf>
    <xf numFmtId="0" fontId="83" fillId="0" borderId="0" xfId="0" applyFont="1" applyBorder="1" applyAlignment="1">
      <alignment vertical="center"/>
    </xf>
    <xf numFmtId="0" fontId="83" fillId="0" borderId="0" xfId="0" applyFont="1" applyBorder="1"/>
    <xf numFmtId="2" fontId="82" fillId="0" borderId="0" xfId="0" applyNumberFormat="1" applyFont="1" applyBorder="1" applyAlignment="1">
      <alignment horizontal="center" vertical="center"/>
    </xf>
    <xf numFmtId="0" fontId="83" fillId="0" borderId="6" xfId="0" applyFont="1" applyBorder="1" applyAlignment="1"/>
    <xf numFmtId="0" fontId="83" fillId="0" borderId="18" xfId="0" applyFont="1" applyBorder="1" applyAlignment="1"/>
    <xf numFmtId="0" fontId="83" fillId="0" borderId="1" xfId="0" applyFont="1" applyBorder="1" applyAlignment="1"/>
    <xf numFmtId="168" fontId="5" fillId="0" borderId="1" xfId="22" applyNumberFormat="1" applyFont="1" applyBorder="1" applyAlignment="1">
      <alignment horizontal="center" vertical="top" wrapText="1"/>
    </xf>
    <xf numFmtId="0" fontId="0" fillId="0" borderId="6" xfId="0" applyBorder="1" applyAlignment="1">
      <alignment horizontal="center" vertical="center"/>
    </xf>
    <xf numFmtId="0" fontId="0" fillId="0" borderId="0" xfId="0" applyAlignment="1">
      <alignment wrapText="1"/>
    </xf>
    <xf numFmtId="179" fontId="5" fillId="0" borderId="1" xfId="22" applyNumberFormat="1" applyFont="1" applyBorder="1" applyAlignment="1">
      <alignment horizontal="center" vertical="center"/>
    </xf>
    <xf numFmtId="179" fontId="5" fillId="0" borderId="6" xfId="22" applyNumberFormat="1" applyFont="1" applyBorder="1" applyAlignment="1">
      <alignment horizontal="center" vertical="center"/>
    </xf>
    <xf numFmtId="168" fontId="5" fillId="0" borderId="6" xfId="22" applyNumberFormat="1" applyFont="1" applyBorder="1" applyAlignment="1">
      <alignment horizontal="center" vertical="top" wrapText="1"/>
    </xf>
    <xf numFmtId="2" fontId="0" fillId="0" borderId="1" xfId="0" applyNumberFormat="1" applyBorder="1" applyAlignment="1">
      <alignment horizontal="center" vertical="center" wrapText="1"/>
    </xf>
    <xf numFmtId="2" fontId="82" fillId="42" borderId="6" xfId="169" applyNumberFormat="1" applyFont="1" applyFill="1" applyBorder="1" applyAlignment="1">
      <alignment horizontal="left" vertical="center" wrapText="1"/>
    </xf>
    <xf numFmtId="2" fontId="82" fillId="42" borderId="16" xfId="169" applyNumberFormat="1" applyFont="1" applyFill="1" applyBorder="1" applyAlignment="1">
      <alignment horizontal="left" vertical="center" wrapText="1"/>
    </xf>
    <xf numFmtId="2" fontId="82" fillId="42" borderId="18" xfId="169" applyNumberFormat="1" applyFont="1" applyFill="1" applyBorder="1" applyAlignment="1">
      <alignment horizontal="left" vertical="center" wrapText="1"/>
    </xf>
    <xf numFmtId="2" fontId="83" fillId="42" borderId="6" xfId="169" applyNumberFormat="1" applyFont="1" applyFill="1" applyBorder="1" applyAlignment="1">
      <alignment horizontal="left" vertical="center" wrapText="1"/>
    </xf>
    <xf numFmtId="2" fontId="83" fillId="42" borderId="16" xfId="169" applyNumberFormat="1" applyFont="1" applyFill="1" applyBorder="1" applyAlignment="1">
      <alignment horizontal="left" vertical="center" wrapText="1"/>
    </xf>
    <xf numFmtId="2" fontId="83" fillId="42" borderId="18" xfId="169" applyNumberFormat="1" applyFont="1" applyFill="1" applyBorder="1" applyAlignment="1">
      <alignment horizontal="left" vertical="center" wrapText="1"/>
    </xf>
    <xf numFmtId="2" fontId="82" fillId="42" borderId="6" xfId="169" applyNumberFormat="1" applyFont="1" applyFill="1" applyBorder="1" applyAlignment="1">
      <alignment vertical="center" wrapText="1"/>
    </xf>
    <xf numFmtId="2" fontId="82" fillId="42" borderId="16" xfId="169" applyNumberFormat="1" applyFont="1" applyFill="1" applyBorder="1" applyAlignment="1">
      <alignment vertical="center" wrapText="1"/>
    </xf>
    <xf numFmtId="2" fontId="82" fillId="42" borderId="18" xfId="169" applyNumberFormat="1" applyFont="1" applyFill="1" applyBorder="1" applyAlignment="1">
      <alignment vertical="center" wrapText="1"/>
    </xf>
    <xf numFmtId="0" fontId="99" fillId="0" borderId="6" xfId="0" applyFont="1" applyBorder="1" applyAlignment="1">
      <alignment horizontal="left"/>
    </xf>
    <xf numFmtId="0" fontId="99" fillId="0" borderId="16" xfId="0" applyFont="1" applyBorder="1" applyAlignment="1">
      <alignment horizontal="left"/>
    </xf>
    <xf numFmtId="0" fontId="99" fillId="0" borderId="18" xfId="0" applyFont="1" applyBorder="1" applyAlignment="1">
      <alignment horizontal="left"/>
    </xf>
    <xf numFmtId="0" fontId="89" fillId="0" borderId="6" xfId="0" applyFont="1" applyBorder="1" applyAlignment="1">
      <alignment horizontal="left"/>
    </xf>
    <xf numFmtId="0" fontId="89" fillId="0" borderId="16" xfId="0" applyFont="1" applyBorder="1" applyAlignment="1">
      <alignment horizontal="left"/>
    </xf>
    <xf numFmtId="0" fontId="89" fillId="0" borderId="18" xfId="0" applyFont="1" applyBorder="1" applyAlignment="1">
      <alignment horizontal="left"/>
    </xf>
    <xf numFmtId="2" fontId="100" fillId="42" borderId="1" xfId="0" applyNumberFormat="1" applyFont="1" applyFill="1" applyBorder="1" applyAlignment="1" applyProtection="1">
      <alignment horizontal="left" vertical="top" wrapText="1"/>
    </xf>
    <xf numFmtId="0" fontId="98" fillId="0" borderId="6" xfId="0" applyFont="1" applyBorder="1" applyAlignment="1">
      <alignment horizontal="left" vertical="center" wrapText="1"/>
    </xf>
    <xf numFmtId="0" fontId="98" fillId="0" borderId="16" xfId="0" applyFont="1" applyBorder="1" applyAlignment="1">
      <alignment horizontal="left" vertical="center" wrapText="1"/>
    </xf>
    <xf numFmtId="0" fontId="98" fillId="0" borderId="18" xfId="0" applyFont="1" applyBorder="1" applyAlignment="1">
      <alignment horizontal="left" vertical="center" wrapText="1"/>
    </xf>
    <xf numFmtId="2" fontId="86" fillId="42" borderId="6" xfId="203" applyNumberFormat="1" applyFont="1" applyFill="1" applyBorder="1" applyAlignment="1" applyProtection="1">
      <alignment horizontal="left" vertical="top" wrapText="1"/>
    </xf>
    <xf numFmtId="2" fontId="86" fillId="42" borderId="16" xfId="203" applyNumberFormat="1" applyFont="1" applyFill="1" applyBorder="1" applyAlignment="1" applyProtection="1">
      <alignment horizontal="left" vertical="top" wrapText="1"/>
    </xf>
    <xf numFmtId="2" fontId="86" fillId="42" borderId="18" xfId="203" applyNumberFormat="1" applyFont="1" applyFill="1" applyBorder="1" applyAlignment="1" applyProtection="1">
      <alignment horizontal="left" vertical="top" wrapText="1"/>
    </xf>
    <xf numFmtId="0" fontId="82" fillId="0" borderId="5" xfId="0" applyFont="1" applyBorder="1" applyAlignment="1">
      <alignment horizontal="center" vertical="center" wrapText="1"/>
    </xf>
    <xf numFmtId="0" fontId="82" fillId="0" borderId="24" xfId="0" applyFont="1" applyBorder="1" applyAlignment="1">
      <alignment horizontal="center" vertical="center" wrapText="1"/>
    </xf>
    <xf numFmtId="2" fontId="100" fillId="42" borderId="6" xfId="203" applyNumberFormat="1" applyFont="1" applyFill="1" applyBorder="1" applyAlignment="1" applyProtection="1">
      <alignment horizontal="left" vertical="top" wrapText="1"/>
    </xf>
    <xf numFmtId="2" fontId="100" fillId="42" borderId="16" xfId="203" applyNumberFormat="1" applyFont="1" applyFill="1" applyBorder="1" applyAlignment="1" applyProtection="1">
      <alignment horizontal="left" vertical="top" wrapText="1"/>
    </xf>
    <xf numFmtId="2" fontId="100" fillId="42" borderId="18" xfId="203" applyNumberFormat="1" applyFont="1" applyFill="1" applyBorder="1" applyAlignment="1" applyProtection="1">
      <alignment horizontal="left" vertical="top" wrapText="1"/>
    </xf>
    <xf numFmtId="0" fontId="1" fillId="0" borderId="1" xfId="0" applyFont="1" applyBorder="1" applyAlignment="1">
      <alignment horizontal="center"/>
    </xf>
    <xf numFmtId="0" fontId="28" fillId="0" borderId="1" xfId="0" applyFont="1" applyBorder="1" applyAlignment="1">
      <alignment horizontal="center"/>
    </xf>
    <xf numFmtId="0" fontId="58" fillId="0" borderId="1" xfId="0" applyFont="1" applyBorder="1" applyAlignment="1">
      <alignment horizontal="center"/>
    </xf>
    <xf numFmtId="0" fontId="2" fillId="0" borderId="6"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xf>
    <xf numFmtId="0" fontId="50" fillId="0" borderId="1" xfId="0" applyFont="1" applyBorder="1" applyAlignment="1">
      <alignment horizontal="center"/>
    </xf>
    <xf numFmtId="0" fontId="2" fillId="0" borderId="6" xfId="0" applyFont="1" applyBorder="1" applyAlignment="1">
      <alignment horizontal="center"/>
    </xf>
    <xf numFmtId="0" fontId="2" fillId="0" borderId="16" xfId="0" applyFont="1" applyBorder="1" applyAlignment="1">
      <alignment horizontal="center"/>
    </xf>
    <xf numFmtId="0" fontId="2" fillId="0" borderId="18" xfId="0" applyFont="1" applyBorder="1" applyAlignment="1">
      <alignment horizontal="center"/>
    </xf>
    <xf numFmtId="0" fontId="1" fillId="0" borderId="6" xfId="0" applyFont="1" applyBorder="1" applyAlignment="1">
      <alignment horizontal="center"/>
    </xf>
    <xf numFmtId="0" fontId="1" fillId="0" borderId="18" xfId="0" applyFont="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3" xfId="0" applyBorder="1" applyAlignment="1">
      <alignment horizontal="center" vertical="center"/>
    </xf>
    <xf numFmtId="0" fontId="51" fillId="0" borderId="2" xfId="0" applyFont="1" applyBorder="1" applyAlignment="1">
      <alignment horizontal="center" vertical="center"/>
    </xf>
    <xf numFmtId="0" fontId="51" fillId="0" borderId="3" xfId="0" applyFont="1" applyBorder="1" applyAlignment="1">
      <alignment horizontal="center" vertical="center"/>
    </xf>
    <xf numFmtId="0" fontId="51" fillId="0" borderId="23" xfId="0" applyFont="1" applyBorder="1" applyAlignment="1">
      <alignment horizontal="center" vertical="center"/>
    </xf>
    <xf numFmtId="0" fontId="0" fillId="0" borderId="6" xfId="0"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wrapText="1"/>
    </xf>
    <xf numFmtId="0" fontId="0" fillId="0" borderId="6"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2" fontId="84" fillId="42" borderId="1" xfId="203" applyNumberFormat="1" applyFont="1" applyFill="1" applyBorder="1" applyAlignment="1" applyProtection="1">
      <alignment horizontal="left" vertical="top" wrapText="1"/>
    </xf>
    <xf numFmtId="0" fontId="83" fillId="0" borderId="6" xfId="0" applyFont="1" applyBorder="1" applyAlignment="1">
      <alignment horizontal="left" wrapText="1"/>
    </xf>
    <xf numFmtId="0" fontId="83" fillId="0" borderId="16" xfId="0" applyFont="1" applyBorder="1" applyAlignment="1">
      <alignment horizontal="left" wrapText="1"/>
    </xf>
    <xf numFmtId="0" fontId="83" fillId="0" borderId="18" xfId="0" applyFont="1" applyBorder="1" applyAlignment="1">
      <alignment horizontal="left" wrapText="1"/>
    </xf>
    <xf numFmtId="0" fontId="83" fillId="0" borderId="6" xfId="0" applyFont="1" applyBorder="1" applyAlignment="1">
      <alignment horizontal="left" vertical="center" wrapText="1"/>
    </xf>
    <xf numFmtId="0" fontId="83" fillId="0" borderId="16" xfId="0" applyFont="1" applyBorder="1" applyAlignment="1">
      <alignment horizontal="left" vertical="center" wrapText="1"/>
    </xf>
    <xf numFmtId="0" fontId="83" fillId="0" borderId="18" xfId="0" applyFont="1" applyBorder="1" applyAlignment="1">
      <alignment horizontal="left" vertical="center" wrapText="1"/>
    </xf>
    <xf numFmtId="0" fontId="90" fillId="0" borderId="6" xfId="0" applyFont="1" applyBorder="1" applyAlignment="1">
      <alignment horizontal="left" vertical="center" wrapText="1"/>
    </xf>
    <xf numFmtId="0" fontId="90" fillId="0" borderId="16" xfId="0" applyFont="1" applyBorder="1" applyAlignment="1">
      <alignment horizontal="left" vertical="center" wrapText="1"/>
    </xf>
    <xf numFmtId="0" fontId="90" fillId="0" borderId="18" xfId="0" applyFont="1" applyBorder="1" applyAlignment="1">
      <alignment horizontal="left" vertical="center" wrapText="1"/>
    </xf>
    <xf numFmtId="0" fontId="65" fillId="0" borderId="6" xfId="0" applyFont="1" applyBorder="1" applyAlignment="1">
      <alignment horizontal="left" vertical="center" wrapText="1"/>
    </xf>
    <xf numFmtId="0" fontId="65" fillId="0" borderId="16" xfId="0" applyFont="1" applyBorder="1" applyAlignment="1">
      <alignment horizontal="left" vertical="center" wrapText="1"/>
    </xf>
    <xf numFmtId="0" fontId="65" fillId="0" borderId="18" xfId="0" applyFont="1" applyBorder="1" applyAlignment="1">
      <alignment horizontal="left" vertical="center" wrapText="1"/>
    </xf>
    <xf numFmtId="0" fontId="89" fillId="0" borderId="1" xfId="0" applyFont="1" applyBorder="1" applyAlignment="1">
      <alignment horizontal="left"/>
    </xf>
    <xf numFmtId="0" fontId="83" fillId="0" borderId="1" xfId="0" applyFont="1" applyBorder="1" applyAlignment="1">
      <alignment horizontal="left" wrapText="1"/>
    </xf>
    <xf numFmtId="0" fontId="3" fillId="0" borderId="1" xfId="0" applyFont="1" applyBorder="1" applyAlignment="1">
      <alignment horizontal="center"/>
    </xf>
    <xf numFmtId="0" fontId="0" fillId="0" borderId="6" xfId="0" applyBorder="1" applyAlignment="1">
      <alignment horizontal="left" wrapText="1"/>
    </xf>
    <xf numFmtId="0" fontId="0" fillId="0" borderId="16" xfId="0" applyBorder="1" applyAlignment="1">
      <alignment horizontal="left" wrapText="1"/>
    </xf>
    <xf numFmtId="0" fontId="90" fillId="0" borderId="21" xfId="0" applyFont="1" applyBorder="1" applyAlignment="1">
      <alignment horizontal="left" vertical="center" wrapText="1"/>
    </xf>
    <xf numFmtId="0" fontId="90" fillId="0" borderId="17" xfId="0" applyFont="1" applyBorder="1" applyAlignment="1">
      <alignment horizontal="left" vertical="center" wrapText="1"/>
    </xf>
    <xf numFmtId="0" fontId="90" fillId="0" borderId="22" xfId="0" applyFont="1" applyBorder="1" applyAlignment="1">
      <alignment horizontal="left" vertical="center" wrapText="1"/>
    </xf>
    <xf numFmtId="0" fontId="90" fillId="0" borderId="1" xfId="0" applyFont="1" applyBorder="1" applyAlignment="1">
      <alignment horizontal="left" vertical="center" wrapText="1"/>
    </xf>
    <xf numFmtId="0" fontId="94" fillId="0" borderId="6" xfId="0" applyFont="1" applyBorder="1" applyAlignment="1">
      <alignment horizontal="center" wrapText="1"/>
    </xf>
    <xf numFmtId="0" fontId="94" fillId="0" borderId="16" xfId="0" applyFont="1" applyBorder="1" applyAlignment="1">
      <alignment horizontal="center" wrapText="1"/>
    </xf>
    <xf numFmtId="0" fontId="94" fillId="0" borderId="18" xfId="0" applyFont="1" applyBorder="1" applyAlignment="1">
      <alignment horizontal="center" wrapText="1"/>
    </xf>
    <xf numFmtId="168" fontId="5" fillId="0" borderId="6" xfId="22" applyNumberFormat="1" applyFont="1" applyBorder="1" applyAlignment="1">
      <alignment horizontal="left" vertical="top" wrapText="1"/>
    </xf>
    <xf numFmtId="168" fontId="5" fillId="0" borderId="16" xfId="22" applyNumberFormat="1" applyFont="1" applyBorder="1" applyAlignment="1">
      <alignment horizontal="left" vertical="top" wrapText="1"/>
    </xf>
    <xf numFmtId="168" fontId="5" fillId="0" borderId="18" xfId="22" applyNumberFormat="1" applyFont="1" applyBorder="1" applyAlignment="1">
      <alignment horizontal="left" vertical="top" wrapText="1"/>
    </xf>
    <xf numFmtId="0" fontId="71" fillId="42" borderId="6" xfId="208" applyFont="1" applyFill="1" applyBorder="1" applyAlignment="1">
      <alignment horizontal="left" vertical="top" wrapText="1"/>
    </xf>
    <xf numFmtId="0" fontId="71" fillId="42" borderId="16" xfId="208" applyFont="1" applyFill="1" applyBorder="1" applyAlignment="1">
      <alignment horizontal="left" vertical="top" wrapText="1"/>
    </xf>
    <xf numFmtId="0" fontId="71" fillId="42" borderId="18" xfId="208" applyFont="1" applyFill="1" applyBorder="1" applyAlignment="1">
      <alignment horizontal="left" vertical="top" wrapText="1"/>
    </xf>
    <xf numFmtId="0" fontId="0" fillId="0" borderId="1" xfId="0" applyBorder="1" applyAlignment="1">
      <alignment horizontal="left" vertical="center"/>
    </xf>
    <xf numFmtId="0" fontId="0" fillId="0" borderId="18" xfId="0" applyBorder="1" applyAlignment="1">
      <alignment horizontal="left" wrapText="1"/>
    </xf>
    <xf numFmtId="0" fontId="0" fillId="0" borderId="1" xfId="0" applyBorder="1" applyAlignment="1">
      <alignment vertical="center"/>
    </xf>
    <xf numFmtId="2" fontId="51" fillId="0" borderId="6" xfId="0" applyNumberFormat="1" applyFont="1" applyBorder="1" applyAlignment="1">
      <alignment horizontal="center" wrapText="1"/>
    </xf>
    <xf numFmtId="2" fontId="51" fillId="0" borderId="18" xfId="0" applyNumberFormat="1" applyFont="1" applyBorder="1" applyAlignment="1">
      <alignment horizontal="center" wrapText="1"/>
    </xf>
    <xf numFmtId="2" fontId="56" fillId="42" borderId="6" xfId="203" applyNumberFormat="1" applyFont="1" applyFill="1" applyBorder="1" applyAlignment="1" applyProtection="1">
      <alignment horizontal="left" vertical="center" wrapText="1"/>
    </xf>
    <xf numFmtId="2" fontId="56" fillId="42" borderId="16" xfId="203" applyNumberFormat="1" applyFont="1" applyFill="1" applyBorder="1" applyAlignment="1" applyProtection="1">
      <alignment horizontal="left" vertical="center" wrapText="1"/>
    </xf>
    <xf numFmtId="2" fontId="56" fillId="42" borderId="18" xfId="203" applyNumberFormat="1" applyFont="1" applyFill="1" applyBorder="1" applyAlignment="1" applyProtection="1">
      <alignment horizontal="left" vertical="center" wrapText="1"/>
    </xf>
    <xf numFmtId="0" fontId="5" fillId="42" borderId="6" xfId="208" applyFont="1" applyFill="1" applyBorder="1" applyAlignment="1">
      <alignment horizontal="left" vertical="top" wrapText="1"/>
    </xf>
    <xf numFmtId="0" fontId="5" fillId="42" borderId="16" xfId="208" applyFont="1" applyFill="1" applyBorder="1" applyAlignment="1">
      <alignment horizontal="left" vertical="top" wrapText="1"/>
    </xf>
    <xf numFmtId="0" fontId="5" fillId="42" borderId="18" xfId="208" applyFont="1" applyFill="1" applyBorder="1" applyAlignment="1">
      <alignment horizontal="left" vertical="top" wrapText="1"/>
    </xf>
    <xf numFmtId="0" fontId="59" fillId="0" borderId="6" xfId="0" applyFont="1" applyBorder="1" applyAlignment="1">
      <alignment horizontal="left" vertical="center" wrapText="1"/>
    </xf>
    <xf numFmtId="0" fontId="59" fillId="0" borderId="16" xfId="0" applyFont="1" applyBorder="1" applyAlignment="1">
      <alignment horizontal="left" vertical="center" wrapText="1"/>
    </xf>
    <xf numFmtId="0" fontId="59" fillId="0" borderId="18" xfId="0" applyFont="1" applyBorder="1" applyAlignment="1">
      <alignment horizontal="left" vertical="center" wrapText="1"/>
    </xf>
    <xf numFmtId="0" fontId="83" fillId="0" borderId="1" xfId="0" applyFont="1" applyBorder="1" applyAlignment="1">
      <alignment horizontal="left" vertical="center" wrapText="1"/>
    </xf>
    <xf numFmtId="0" fontId="82" fillId="0" borderId="6" xfId="0" applyFont="1" applyBorder="1" applyAlignment="1">
      <alignment horizontal="center" vertical="center"/>
    </xf>
    <xf numFmtId="0" fontId="82" fillId="0" borderId="18" xfId="0" applyFont="1" applyBorder="1" applyAlignment="1">
      <alignment horizontal="center" vertical="center"/>
    </xf>
    <xf numFmtId="2" fontId="82" fillId="0" borderId="6" xfId="0" applyNumberFormat="1" applyFont="1" applyBorder="1" applyAlignment="1">
      <alignment horizontal="center" vertical="center"/>
    </xf>
    <xf numFmtId="2" fontId="82" fillId="0" borderId="18" xfId="0" applyNumberFormat="1" applyFont="1" applyBorder="1" applyAlignment="1">
      <alignment horizontal="center" vertical="center"/>
    </xf>
    <xf numFmtId="168" fontId="5" fillId="0" borderId="6" xfId="1" applyNumberFormat="1" applyFont="1" applyBorder="1" applyAlignment="1">
      <alignment horizontal="left" vertical="top" wrapText="1"/>
    </xf>
    <xf numFmtId="168" fontId="5" fillId="0" borderId="16" xfId="1" applyNumberFormat="1" applyFont="1" applyBorder="1" applyAlignment="1">
      <alignment horizontal="left" vertical="top" wrapText="1"/>
    </xf>
    <xf numFmtId="168" fontId="5" fillId="0" borderId="18" xfId="1" applyNumberFormat="1" applyFont="1" applyBorder="1" applyAlignment="1">
      <alignment horizontal="left" vertical="top" wrapText="1"/>
    </xf>
    <xf numFmtId="0" fontId="70" fillId="42" borderId="6" xfId="118" applyFont="1" applyFill="1" applyBorder="1" applyAlignment="1">
      <alignment horizontal="left" vertical="top" wrapText="1"/>
    </xf>
    <xf numFmtId="0" fontId="70" fillId="42" borderId="16" xfId="118" applyFont="1" applyFill="1" applyBorder="1" applyAlignment="1">
      <alignment horizontal="left" vertical="top" wrapText="1"/>
    </xf>
    <xf numFmtId="0" fontId="70" fillId="42" borderId="18" xfId="118" applyFont="1" applyFill="1" applyBorder="1" applyAlignment="1">
      <alignment horizontal="left" vertical="top" wrapText="1"/>
    </xf>
    <xf numFmtId="0" fontId="61" fillId="0" borderId="1" xfId="0" applyFont="1" applyBorder="1" applyAlignment="1">
      <alignment horizontal="center" vertical="center"/>
    </xf>
    <xf numFmtId="0" fontId="82" fillId="0" borderId="6" xfId="0" applyFont="1" applyBorder="1" applyAlignment="1">
      <alignment vertical="center" wrapText="1"/>
    </xf>
    <xf numFmtId="0" fontId="82" fillId="0" borderId="16" xfId="0" applyFont="1" applyBorder="1" applyAlignment="1">
      <alignment vertical="center" wrapText="1"/>
    </xf>
    <xf numFmtId="0" fontId="82" fillId="0" borderId="18" xfId="0" applyFont="1" applyBorder="1" applyAlignment="1">
      <alignment vertical="center" wrapText="1"/>
    </xf>
    <xf numFmtId="0" fontId="1" fillId="0" borderId="6" xfId="0" applyFont="1" applyBorder="1" applyAlignment="1">
      <alignment horizontal="center" vertical="center"/>
    </xf>
    <xf numFmtId="0" fontId="1" fillId="0" borderId="16" xfId="0" applyFont="1" applyBorder="1" applyAlignment="1">
      <alignment horizontal="center" vertical="center"/>
    </xf>
    <xf numFmtId="0" fontId="1" fillId="0" borderId="18" xfId="0" applyFont="1" applyBorder="1" applyAlignment="1">
      <alignment horizontal="center" vertical="center"/>
    </xf>
    <xf numFmtId="2" fontId="56" fillId="42" borderId="6" xfId="169" applyNumberFormat="1" applyFont="1" applyFill="1" applyBorder="1" applyAlignment="1">
      <alignment horizontal="left" vertical="center" wrapText="1"/>
    </xf>
    <xf numFmtId="2" fontId="56" fillId="42" borderId="16" xfId="169" applyNumberFormat="1" applyFont="1" applyFill="1" applyBorder="1" applyAlignment="1">
      <alignment horizontal="left" vertical="center" wrapText="1"/>
    </xf>
    <xf numFmtId="2" fontId="56" fillId="42" borderId="18" xfId="169" applyNumberFormat="1" applyFont="1" applyFill="1" applyBorder="1" applyAlignment="1">
      <alignment horizontal="left" vertical="center" wrapText="1"/>
    </xf>
    <xf numFmtId="2" fontId="0" fillId="0" borderId="2" xfId="0" applyNumberFormat="1" applyBorder="1" applyAlignment="1">
      <alignment horizontal="center" vertical="center"/>
    </xf>
    <xf numFmtId="2" fontId="0" fillId="0" borderId="23" xfId="0" applyNumberFormat="1" applyBorder="1" applyAlignment="1">
      <alignment horizontal="center" vertical="center"/>
    </xf>
    <xf numFmtId="0" fontId="0" fillId="0" borderId="1" xfId="0" applyBorder="1" applyAlignment="1">
      <alignment horizontal="left" vertical="center" wrapText="1"/>
    </xf>
    <xf numFmtId="0" fontId="59" fillId="0" borderId="1" xfId="0" applyFont="1" applyBorder="1" applyAlignment="1">
      <alignment horizontal="left" vertical="center" wrapText="1"/>
    </xf>
    <xf numFmtId="0" fontId="1" fillId="0" borderId="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0" fillId="0" borderId="6"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6" xfId="0" applyBorder="1" applyAlignment="1">
      <alignment horizontal="center" vertical="center" wrapText="1"/>
    </xf>
    <xf numFmtId="0" fontId="0" fillId="0" borderId="16" xfId="0" applyBorder="1" applyAlignment="1">
      <alignment horizontal="center" vertical="center" wrapText="1"/>
    </xf>
    <xf numFmtId="2" fontId="97" fillId="42" borderId="1" xfId="0" applyNumberFormat="1" applyFont="1" applyFill="1" applyBorder="1" applyAlignment="1">
      <alignment horizontal="center" vertical="center"/>
    </xf>
    <xf numFmtId="0" fontId="90" fillId="0" borderId="1" xfId="0" applyFont="1" applyBorder="1" applyAlignment="1">
      <alignment vertical="center"/>
    </xf>
    <xf numFmtId="0" fontId="83" fillId="0" borderId="23" xfId="0" applyFont="1" applyBorder="1" applyAlignment="1">
      <alignment vertical="center"/>
    </xf>
    <xf numFmtId="0" fontId="83" fillId="0" borderId="0" xfId="0" applyFont="1" applyAlignment="1">
      <alignment vertical="center"/>
    </xf>
    <xf numFmtId="0" fontId="90" fillId="0" borderId="23" xfId="0" applyFont="1" applyBorder="1" applyAlignment="1">
      <alignment horizontal="left" vertical="center"/>
    </xf>
    <xf numFmtId="0" fontId="63" fillId="0" borderId="1" xfId="0" applyFont="1" applyBorder="1" applyAlignment="1">
      <alignment horizontal="left" vertical="center"/>
    </xf>
    <xf numFmtId="0" fontId="63" fillId="42" borderId="1" xfId="0" applyFont="1" applyFill="1" applyBorder="1" applyAlignment="1">
      <alignment horizontal="left" vertical="center" wrapText="1"/>
    </xf>
    <xf numFmtId="2" fontId="107" fillId="42" borderId="1" xfId="203" applyNumberFormat="1" applyFont="1" applyFill="1" applyBorder="1" applyAlignment="1" applyProtection="1">
      <alignment horizontal="left" vertical="center" wrapText="1"/>
    </xf>
    <xf numFmtId="0" fontId="108" fillId="0" borderId="1" xfId="0" applyFont="1" applyBorder="1" applyAlignment="1">
      <alignment horizontal="left" vertical="center" wrapText="1"/>
    </xf>
    <xf numFmtId="2" fontId="109" fillId="42" borderId="1" xfId="203" applyNumberFormat="1" applyFont="1" applyFill="1" applyBorder="1" applyAlignment="1" applyProtection="1">
      <alignment horizontal="left" vertical="center" wrapText="1"/>
    </xf>
    <xf numFmtId="2" fontId="93" fillId="42" borderId="1" xfId="203" applyNumberFormat="1" applyFont="1" applyFill="1" applyBorder="1" applyAlignment="1" applyProtection="1">
      <alignment horizontal="left" vertical="center" wrapText="1"/>
    </xf>
    <xf numFmtId="0" fontId="110" fillId="0" borderId="1" xfId="0" applyFont="1" applyBorder="1" applyAlignment="1">
      <alignment horizontal="left" vertical="center"/>
    </xf>
    <xf numFmtId="0" fontId="109" fillId="44" borderId="1" xfId="0" applyFont="1" applyFill="1" applyBorder="1" applyAlignment="1">
      <alignment horizontal="left" vertical="center" wrapText="1"/>
    </xf>
    <xf numFmtId="2" fontId="110" fillId="42" borderId="1" xfId="169" applyNumberFormat="1" applyFont="1" applyFill="1" applyBorder="1" applyAlignment="1">
      <alignment horizontal="left" vertical="center" wrapText="1"/>
    </xf>
    <xf numFmtId="2" fontId="110" fillId="42" borderId="6" xfId="169" applyNumberFormat="1" applyFont="1" applyFill="1" applyBorder="1" applyAlignment="1">
      <alignment horizontal="left" vertical="center" wrapText="1"/>
    </xf>
    <xf numFmtId="166" fontId="110" fillId="42" borderId="1" xfId="169" applyNumberFormat="1" applyFont="1" applyFill="1" applyBorder="1" applyAlignment="1">
      <alignment horizontal="left" vertical="center" wrapText="1"/>
    </xf>
    <xf numFmtId="0" fontId="109" fillId="44" borderId="1" xfId="208" applyFont="1" applyFill="1" applyBorder="1" applyAlignment="1">
      <alignment horizontal="left" vertical="center" wrapText="1"/>
    </xf>
    <xf numFmtId="0" fontId="110" fillId="0" borderId="1" xfId="0" applyFont="1" applyBorder="1" applyAlignment="1">
      <alignment horizontal="left" vertical="center" wrapText="1"/>
    </xf>
    <xf numFmtId="0" fontId="108" fillId="0" borderId="1" xfId="0" applyFont="1" applyBorder="1" applyAlignment="1">
      <alignment horizontal="left" vertical="center"/>
    </xf>
    <xf numFmtId="2" fontId="109" fillId="42" borderId="6" xfId="203" applyNumberFormat="1" applyFont="1" applyFill="1" applyBorder="1" applyAlignment="1" applyProtection="1">
      <alignment horizontal="left" vertical="center" wrapText="1"/>
    </xf>
    <xf numFmtId="0" fontId="108" fillId="0" borderId="6" xfId="0" applyFont="1" applyBorder="1" applyAlignment="1">
      <alignment horizontal="left" vertical="center"/>
    </xf>
    <xf numFmtId="0" fontId="109" fillId="0" borderId="6" xfId="0" applyFont="1" applyBorder="1" applyAlignment="1">
      <alignment horizontal="left" vertical="center"/>
    </xf>
    <xf numFmtId="0" fontId="110" fillId="0" borderId="0" xfId="0" applyFont="1" applyAlignment="1">
      <alignment horizontal="left" vertical="center"/>
    </xf>
    <xf numFmtId="0" fontId="57" fillId="0" borderId="6" xfId="0" applyFont="1" applyBorder="1" applyAlignment="1">
      <alignment horizontal="left" vertical="center" wrapText="1"/>
    </xf>
    <xf numFmtId="0" fontId="57" fillId="0" borderId="16" xfId="0" applyFont="1" applyBorder="1" applyAlignment="1">
      <alignment horizontal="left" vertical="center" wrapText="1"/>
    </xf>
    <xf numFmtId="0" fontId="57" fillId="0" borderId="18" xfId="0" applyFont="1" applyBorder="1" applyAlignment="1">
      <alignment horizontal="left" vertical="center" wrapText="1"/>
    </xf>
    <xf numFmtId="0" fontId="89" fillId="0" borderId="6" xfId="0" applyFont="1" applyBorder="1" applyAlignment="1">
      <alignment horizontal="left" vertical="center" wrapText="1"/>
    </xf>
    <xf numFmtId="0" fontId="89" fillId="0" borderId="16" xfId="0" applyFont="1" applyBorder="1" applyAlignment="1">
      <alignment horizontal="left" vertical="center" wrapText="1"/>
    </xf>
    <xf numFmtId="0" fontId="89" fillId="0" borderId="18" xfId="0" applyFont="1" applyBorder="1" applyAlignment="1">
      <alignment horizontal="left" vertical="center" wrapText="1"/>
    </xf>
    <xf numFmtId="0" fontId="115" fillId="0" borderId="1" xfId="0" applyFont="1" applyBorder="1" applyAlignment="1">
      <alignment horizontal="center" vertical="center"/>
    </xf>
    <xf numFmtId="0" fontId="106" fillId="0" borderId="1" xfId="0" applyFont="1" applyBorder="1" applyAlignment="1">
      <alignment horizontal="center" vertical="center"/>
    </xf>
    <xf numFmtId="0" fontId="90" fillId="0" borderId="1" xfId="0" applyFont="1" applyBorder="1" applyAlignment="1">
      <alignment horizontal="center" vertical="center"/>
    </xf>
    <xf numFmtId="2" fontId="90" fillId="42" borderId="6" xfId="169" applyNumberFormat="1" applyFont="1" applyFill="1" applyBorder="1" applyAlignment="1">
      <alignment horizontal="left" vertical="center" wrapText="1"/>
    </xf>
    <xf numFmtId="2" fontId="90" fillId="42" borderId="16" xfId="169" applyNumberFormat="1" applyFont="1" applyFill="1" applyBorder="1" applyAlignment="1">
      <alignment horizontal="left" vertical="center" wrapText="1"/>
    </xf>
    <xf numFmtId="2" fontId="90" fillId="42" borderId="18" xfId="169" applyNumberFormat="1" applyFont="1" applyFill="1" applyBorder="1" applyAlignment="1">
      <alignment horizontal="left" vertical="center" wrapText="1"/>
    </xf>
    <xf numFmtId="0" fontId="90" fillId="42" borderId="1" xfId="0" applyFont="1" applyFill="1" applyBorder="1" applyAlignment="1">
      <alignment horizontal="center" vertical="center"/>
    </xf>
    <xf numFmtId="0" fontId="90" fillId="0" borderId="6" xfId="0" applyFont="1" applyBorder="1" applyAlignment="1">
      <alignment horizontal="center" vertical="center"/>
    </xf>
    <xf numFmtId="0" fontId="90" fillId="0" borderId="0" xfId="0" applyFont="1"/>
    <xf numFmtId="0" fontId="117" fillId="0" borderId="6" xfId="0" applyFont="1" applyBorder="1" applyAlignment="1">
      <alignment horizontal="left" vertical="center" wrapText="1"/>
    </xf>
    <xf numFmtId="0" fontId="117" fillId="0" borderId="16" xfId="0" applyFont="1" applyBorder="1" applyAlignment="1">
      <alignment horizontal="left" vertical="center" wrapText="1"/>
    </xf>
    <xf numFmtId="0" fontId="117" fillId="0" borderId="18" xfId="0" applyFont="1" applyBorder="1" applyAlignment="1">
      <alignment horizontal="left" vertical="center" wrapText="1"/>
    </xf>
    <xf numFmtId="0" fontId="65" fillId="0" borderId="1" xfId="0" applyFont="1" applyBorder="1" applyAlignment="1">
      <alignment vertical="center" wrapText="1"/>
    </xf>
    <xf numFmtId="0" fontId="90" fillId="0" borderId="1" xfId="0" applyFont="1" applyBorder="1" applyAlignment="1">
      <alignment horizontal="center" vertical="center" wrapText="1"/>
    </xf>
    <xf numFmtId="0" fontId="90" fillId="0" borderId="23" xfId="0" applyFont="1" applyBorder="1" applyAlignment="1">
      <alignment horizontal="center" vertical="center" wrapText="1"/>
    </xf>
    <xf numFmtId="0" fontId="109" fillId="0" borderId="27" xfId="0" applyFont="1" applyBorder="1" applyAlignment="1">
      <alignment horizontal="left" vertical="center"/>
    </xf>
    <xf numFmtId="2" fontId="83" fillId="0" borderId="27" xfId="0" applyNumberFormat="1" applyFont="1" applyBorder="1" applyAlignment="1">
      <alignment horizontal="center" vertical="center"/>
    </xf>
    <xf numFmtId="2" fontId="113" fillId="0" borderId="28" xfId="0" applyNumberFormat="1" applyFont="1" applyBorder="1" applyAlignment="1">
      <alignment horizontal="center" vertical="center"/>
    </xf>
    <xf numFmtId="2" fontId="113" fillId="0" borderId="29" xfId="0" applyNumberFormat="1" applyFont="1" applyBorder="1" applyAlignment="1">
      <alignment horizontal="center" vertical="center"/>
    </xf>
    <xf numFmtId="0" fontId="110" fillId="0" borderId="27" xfId="0" applyFont="1" applyBorder="1" applyAlignment="1">
      <alignment horizontal="left" vertical="center"/>
    </xf>
    <xf numFmtId="0" fontId="110" fillId="0" borderId="27" xfId="0" applyFont="1" applyBorder="1" applyAlignment="1">
      <alignment horizontal="center" vertical="center"/>
    </xf>
    <xf numFmtId="0" fontId="108" fillId="0" borderId="27" xfId="0" applyFont="1" applyBorder="1" applyAlignment="1">
      <alignment horizontal="left" vertical="center"/>
    </xf>
    <xf numFmtId="0" fontId="83" fillId="0" borderId="27" xfId="0" applyFont="1" applyBorder="1" applyAlignment="1">
      <alignment horizontal="center" vertical="center"/>
    </xf>
    <xf numFmtId="2" fontId="113" fillId="0" borderId="30" xfId="0" applyNumberFormat="1" applyFont="1" applyBorder="1" applyAlignment="1">
      <alignment horizontal="center" vertical="center"/>
    </xf>
    <xf numFmtId="2" fontId="113" fillId="0" borderId="30" xfId="0" applyNumberFormat="1" applyFont="1" applyBorder="1" applyAlignment="1">
      <alignment horizontal="center" vertical="center"/>
    </xf>
    <xf numFmtId="0" fontId="89" fillId="0" borderId="27" xfId="0" applyFont="1" applyBorder="1" applyAlignment="1">
      <alignment horizontal="left" vertical="center"/>
    </xf>
    <xf numFmtId="2" fontId="99" fillId="0" borderId="31" xfId="0" applyNumberFormat="1" applyFont="1" applyBorder="1" applyAlignment="1">
      <alignment horizontal="center" vertical="center"/>
    </xf>
    <xf numFmtId="2" fontId="99" fillId="0" borderId="31" xfId="0" applyNumberFormat="1" applyFont="1" applyBorder="1" applyAlignment="1">
      <alignment horizontal="center" vertical="center"/>
    </xf>
    <xf numFmtId="0" fontId="99" fillId="0" borderId="27" xfId="0" applyFont="1" applyBorder="1" applyAlignment="1">
      <alignment horizontal="left" vertical="center" wrapText="1"/>
    </xf>
    <xf numFmtId="0" fontId="99" fillId="0" borderId="27" xfId="0" applyFont="1" applyBorder="1" applyAlignment="1">
      <alignment horizontal="left" vertical="center"/>
    </xf>
    <xf numFmtId="2" fontId="99" fillId="0" borderId="30" xfId="0" applyNumberFormat="1" applyFont="1" applyBorder="1" applyAlignment="1">
      <alignment horizontal="center" vertical="center"/>
    </xf>
    <xf numFmtId="2" fontId="99" fillId="0" borderId="30" xfId="0" applyNumberFormat="1" applyFont="1" applyBorder="1" applyAlignment="1">
      <alignment horizontal="center" vertical="center"/>
    </xf>
    <xf numFmtId="2" fontId="99" fillId="0" borderId="27" xfId="0" applyNumberFormat="1" applyFont="1" applyBorder="1" applyAlignment="1">
      <alignment horizontal="center" vertical="center"/>
    </xf>
    <xf numFmtId="2" fontId="100" fillId="0" borderId="27" xfId="0" applyNumberFormat="1" applyFont="1" applyBorder="1" applyAlignment="1">
      <alignment horizontal="center" vertical="center"/>
    </xf>
    <xf numFmtId="0" fontId="65" fillId="0" borderId="1" xfId="0" applyFont="1" applyBorder="1" applyAlignment="1">
      <alignment horizontal="center" vertical="center"/>
    </xf>
    <xf numFmtId="0" fontId="65" fillId="0" borderId="1" xfId="0" applyFont="1" applyBorder="1" applyAlignment="1">
      <alignment horizontal="center" vertical="center" wrapText="1"/>
    </xf>
    <xf numFmtId="0" fontId="65" fillId="0" borderId="1" xfId="0" applyFont="1" applyBorder="1"/>
    <xf numFmtId="0" fontId="90" fillId="0" borderId="1" xfId="0" applyFont="1" applyBorder="1" applyAlignment="1">
      <alignment horizontal="right"/>
    </xf>
    <xf numFmtId="2" fontId="90" fillId="0" borderId="1" xfId="0" applyNumberFormat="1" applyFont="1" applyBorder="1"/>
    <xf numFmtId="2" fontId="65" fillId="0" borderId="1" xfId="0" applyNumberFormat="1" applyFont="1" applyBorder="1"/>
    <xf numFmtId="0" fontId="65" fillId="0" borderId="1" xfId="0" applyFont="1" applyFill="1" applyBorder="1"/>
    <xf numFmtId="0" fontId="98" fillId="0" borderId="17" xfId="0" applyFont="1" applyBorder="1" applyAlignment="1">
      <alignment horizontal="center" vertical="center"/>
    </xf>
    <xf numFmtId="0" fontId="111" fillId="0" borderId="1" xfId="0" applyFont="1" applyBorder="1" applyAlignment="1">
      <alignment horizontal="center" vertical="center" wrapText="1"/>
    </xf>
    <xf numFmtId="0" fontId="119" fillId="0" borderId="27" xfId="0" applyFont="1" applyBorder="1" applyAlignment="1">
      <alignment horizontal="center" vertical="center"/>
    </xf>
    <xf numFmtId="0" fontId="119" fillId="0" borderId="0" xfId="0" applyFont="1"/>
    <xf numFmtId="0" fontId="104" fillId="0" borderId="30" xfId="0" applyFont="1" applyBorder="1" applyAlignment="1">
      <alignment horizontal="left" vertical="top"/>
    </xf>
    <xf numFmtId="2" fontId="104" fillId="0" borderId="35" xfId="0" applyNumberFormat="1" applyFont="1" applyBorder="1" applyAlignment="1">
      <alignment horizontal="center" vertical="top"/>
    </xf>
    <xf numFmtId="2" fontId="104" fillId="0" borderId="36" xfId="0" applyNumberFormat="1" applyFont="1" applyBorder="1" applyAlignment="1">
      <alignment horizontal="center" vertical="top"/>
    </xf>
    <xf numFmtId="2" fontId="104" fillId="0" borderId="37" xfId="0" applyNumberFormat="1" applyFont="1" applyBorder="1" applyAlignment="1">
      <alignment horizontal="center" vertical="top"/>
    </xf>
    <xf numFmtId="0" fontId="98" fillId="0" borderId="1" xfId="0" applyFont="1" applyBorder="1" applyAlignment="1">
      <alignment horizontal="center"/>
    </xf>
    <xf numFmtId="0" fontId="110" fillId="0" borderId="1" xfId="0" applyFont="1" applyBorder="1" applyAlignment="1">
      <alignment horizontal="center" wrapText="1"/>
    </xf>
    <xf numFmtId="0" fontId="118" fillId="0" borderId="1" xfId="0" applyFont="1" applyFill="1" applyBorder="1" applyAlignment="1">
      <alignment horizontal="left"/>
    </xf>
    <xf numFmtId="0" fontId="118" fillId="0" borderId="1" xfId="0" applyFont="1" applyFill="1" applyBorder="1" applyAlignment="1">
      <alignment horizontal="center"/>
    </xf>
    <xf numFmtId="0" fontId="118" fillId="0" borderId="1" xfId="0" applyFont="1" applyFill="1" applyBorder="1" applyAlignment="1">
      <alignment horizontal="center" wrapText="1"/>
    </xf>
    <xf numFmtId="1" fontId="84" fillId="42" borderId="1" xfId="204" applyNumberFormat="1" applyFont="1" applyFill="1" applyBorder="1" applyAlignment="1">
      <alignment horizontal="center" vertical="center" wrapText="1"/>
    </xf>
    <xf numFmtId="0" fontId="84" fillId="42" borderId="1" xfId="204" applyFont="1" applyFill="1" applyBorder="1" applyAlignment="1">
      <alignment horizontal="center" vertical="center" wrapText="1"/>
    </xf>
    <xf numFmtId="0" fontId="84" fillId="42" borderId="0" xfId="204" applyFont="1" applyFill="1" applyAlignment="1">
      <alignment horizontal="center" vertical="center"/>
    </xf>
    <xf numFmtId="0" fontId="85" fillId="42" borderId="1" xfId="204" applyFont="1" applyFill="1" applyBorder="1" applyAlignment="1">
      <alignment horizontal="center" vertical="center" wrapText="1"/>
    </xf>
    <xf numFmtId="2" fontId="83" fillId="0" borderId="1" xfId="0" applyNumberFormat="1" applyFont="1" applyBorder="1" applyAlignment="1">
      <alignment vertical="center"/>
    </xf>
    <xf numFmtId="0" fontId="82" fillId="0" borderId="23" xfId="0" applyFont="1" applyBorder="1" applyAlignment="1">
      <alignment vertical="center"/>
    </xf>
    <xf numFmtId="2" fontId="91" fillId="0" borderId="1" xfId="0" applyNumberFormat="1" applyFont="1" applyBorder="1" applyAlignment="1">
      <alignment vertical="center"/>
    </xf>
    <xf numFmtId="2" fontId="88" fillId="0" borderId="1" xfId="0" applyNumberFormat="1" applyFont="1" applyBorder="1" applyAlignment="1">
      <alignment vertical="center"/>
    </xf>
    <xf numFmtId="0" fontId="83" fillId="0" borderId="6" xfId="0" applyFont="1" applyBorder="1" applyAlignment="1">
      <alignment vertical="center"/>
    </xf>
    <xf numFmtId="0" fontId="83" fillId="0" borderId="18" xfId="0" applyFont="1" applyBorder="1" applyAlignment="1">
      <alignment vertical="center"/>
    </xf>
    <xf numFmtId="0" fontId="83" fillId="0" borderId="6" xfId="0" applyFont="1" applyBorder="1" applyAlignment="1">
      <alignment horizontal="center" vertical="center"/>
    </xf>
    <xf numFmtId="0" fontId="83" fillId="0" borderId="18" xfId="0" applyFont="1" applyBorder="1" applyAlignment="1">
      <alignment horizontal="center" vertical="center"/>
    </xf>
    <xf numFmtId="0" fontId="92" fillId="0" borderId="6" xfId="0" applyFont="1" applyBorder="1" applyAlignment="1">
      <alignment horizontal="left" vertical="center"/>
    </xf>
    <xf numFmtId="0" fontId="92" fillId="0" borderId="16" xfId="0" applyFont="1" applyBorder="1" applyAlignment="1">
      <alignment horizontal="left" vertical="center"/>
    </xf>
    <xf numFmtId="0" fontId="92" fillId="0" borderId="18" xfId="0" applyFont="1" applyBorder="1" applyAlignment="1">
      <alignment horizontal="left" vertical="center"/>
    </xf>
    <xf numFmtId="0" fontId="93" fillId="0" borderId="1" xfId="0" applyFont="1" applyBorder="1" applyAlignment="1">
      <alignment horizontal="center" vertical="center" wrapText="1"/>
    </xf>
    <xf numFmtId="0" fontId="94" fillId="0" borderId="1" xfId="0" applyFont="1" applyBorder="1" applyAlignment="1">
      <alignment horizontal="center" vertical="center"/>
    </xf>
    <xf numFmtId="0" fontId="95" fillId="0" borderId="1" xfId="0" applyFont="1" applyBorder="1" applyAlignment="1">
      <alignment horizontal="center" vertical="center"/>
    </xf>
    <xf numFmtId="2" fontId="84" fillId="42" borderId="6" xfId="203" applyNumberFormat="1" applyFont="1" applyFill="1" applyBorder="1" applyAlignment="1" applyProtection="1">
      <alignment horizontal="left" vertical="center" wrapText="1"/>
    </xf>
    <xf numFmtId="2" fontId="84" fillId="42" borderId="16" xfId="203" applyNumberFormat="1" applyFont="1" applyFill="1" applyBorder="1" applyAlignment="1" applyProtection="1">
      <alignment horizontal="left" vertical="center" wrapText="1"/>
    </xf>
    <xf numFmtId="2" fontId="84" fillId="42" borderId="18" xfId="203" applyNumberFormat="1" applyFont="1" applyFill="1" applyBorder="1" applyAlignment="1" applyProtection="1">
      <alignment horizontal="left" vertical="center" wrapText="1"/>
    </xf>
    <xf numFmtId="0" fontId="96" fillId="0" borderId="1" xfId="0" applyFont="1" applyBorder="1" applyAlignment="1">
      <alignment vertical="center"/>
    </xf>
    <xf numFmtId="2" fontId="84" fillId="42" borderId="16" xfId="203" applyNumberFormat="1" applyFont="1" applyFill="1" applyBorder="1" applyAlignment="1" applyProtection="1">
      <alignment horizontal="left" vertical="center" wrapText="1"/>
    </xf>
    <xf numFmtId="2" fontId="84" fillId="42" borderId="18" xfId="203" applyNumberFormat="1" applyFont="1" applyFill="1" applyBorder="1" applyAlignment="1" applyProtection="1">
      <alignment horizontal="left" vertical="center" wrapText="1"/>
    </xf>
    <xf numFmtId="0" fontId="89" fillId="0" borderId="6" xfId="0" applyFont="1" applyBorder="1" applyAlignment="1">
      <alignment horizontal="left" vertical="center"/>
    </xf>
    <xf numFmtId="0" fontId="89" fillId="0" borderId="16" xfId="0" applyFont="1" applyBorder="1" applyAlignment="1">
      <alignment horizontal="left" vertical="center"/>
    </xf>
    <xf numFmtId="0" fontId="89" fillId="0" borderId="18" xfId="0" applyFont="1" applyBorder="1" applyAlignment="1">
      <alignment horizontal="left" vertical="center"/>
    </xf>
    <xf numFmtId="0" fontId="89" fillId="0" borderId="16" xfId="0" applyFont="1" applyBorder="1" applyAlignment="1">
      <alignment horizontal="left" vertical="center"/>
    </xf>
    <xf numFmtId="0" fontId="89" fillId="0" borderId="18" xfId="0" applyFont="1" applyBorder="1" applyAlignment="1">
      <alignment horizontal="left" vertical="center"/>
    </xf>
    <xf numFmtId="0" fontId="83" fillId="42" borderId="1" xfId="0" applyFont="1" applyFill="1" applyBorder="1" applyAlignment="1">
      <alignment vertical="center"/>
    </xf>
    <xf numFmtId="0" fontId="89" fillId="0" borderId="6" xfId="0" applyFont="1" applyFill="1" applyBorder="1" applyAlignment="1">
      <alignment horizontal="left" vertical="center" wrapText="1"/>
    </xf>
    <xf numFmtId="0" fontId="89" fillId="0" borderId="16" xfId="0" applyFont="1" applyFill="1" applyBorder="1" applyAlignment="1">
      <alignment horizontal="left" vertical="center" wrapText="1"/>
    </xf>
    <xf numFmtId="0" fontId="89" fillId="0" borderId="18" xfId="0" applyFont="1" applyFill="1" applyBorder="1" applyAlignment="1">
      <alignment horizontal="left" vertical="center" wrapText="1"/>
    </xf>
    <xf numFmtId="0" fontId="82" fillId="0" borderId="1" xfId="0" applyFont="1" applyFill="1" applyBorder="1" applyAlignment="1">
      <alignment horizontal="center" vertical="center"/>
    </xf>
    <xf numFmtId="0" fontId="83" fillId="0" borderId="1" xfId="0" applyFont="1" applyFill="1" applyBorder="1" applyAlignment="1">
      <alignment vertical="center"/>
    </xf>
    <xf numFmtId="0" fontId="83" fillId="0" borderId="0" xfId="0" applyFont="1" applyFill="1" applyAlignment="1">
      <alignment vertical="center"/>
    </xf>
    <xf numFmtId="2" fontId="84" fillId="42" borderId="6" xfId="0" applyNumberFormat="1" applyFont="1" applyFill="1" applyBorder="1" applyAlignment="1" applyProtection="1">
      <alignment horizontal="left" vertical="center" wrapText="1"/>
    </xf>
    <xf numFmtId="2" fontId="84" fillId="42" borderId="16" xfId="0" applyNumberFormat="1" applyFont="1" applyFill="1" applyBorder="1" applyAlignment="1" applyProtection="1">
      <alignment horizontal="left" vertical="center" wrapText="1"/>
    </xf>
    <xf numFmtId="2" fontId="84" fillId="42" borderId="18" xfId="0" applyNumberFormat="1" applyFont="1" applyFill="1" applyBorder="1" applyAlignment="1" applyProtection="1">
      <alignment horizontal="left" vertical="center" wrapText="1"/>
    </xf>
    <xf numFmtId="2" fontId="84" fillId="42" borderId="1" xfId="0" applyNumberFormat="1" applyFont="1" applyFill="1" applyBorder="1" applyAlignment="1" applyProtection="1">
      <alignment vertical="center" wrapText="1"/>
    </xf>
    <xf numFmtId="0" fontId="87" fillId="0" borderId="1" xfId="0" applyFont="1" applyBorder="1" applyAlignment="1">
      <alignment vertical="center"/>
    </xf>
    <xf numFmtId="0" fontId="99" fillId="0" borderId="6" xfId="0" applyFont="1" applyBorder="1" applyAlignment="1">
      <alignment horizontal="left" vertical="center"/>
    </xf>
    <xf numFmtId="0" fontId="99" fillId="0" borderId="16" xfId="0" applyFont="1" applyBorder="1" applyAlignment="1">
      <alignment horizontal="left" vertical="center"/>
    </xf>
    <xf numFmtId="0" fontId="99" fillId="0" borderId="18" xfId="0" applyFont="1" applyBorder="1" applyAlignment="1">
      <alignment horizontal="left" vertical="center"/>
    </xf>
    <xf numFmtId="0" fontId="100" fillId="0" borderId="1" xfId="0" applyFont="1" applyBorder="1" applyAlignment="1">
      <alignment horizontal="center" vertical="center"/>
    </xf>
    <xf numFmtId="0" fontId="100" fillId="0" borderId="1" xfId="0" applyFont="1" applyBorder="1" applyAlignment="1">
      <alignment vertical="center"/>
    </xf>
    <xf numFmtId="0" fontId="99" fillId="0" borderId="16" xfId="0" applyFont="1" applyBorder="1" applyAlignment="1">
      <alignment horizontal="left" vertical="center"/>
    </xf>
    <xf numFmtId="0" fontId="99" fillId="0" borderId="18" xfId="0" applyFont="1" applyBorder="1" applyAlignment="1">
      <alignment horizontal="left" vertical="center"/>
    </xf>
    <xf numFmtId="0" fontId="112" fillId="0" borderId="6" xfId="0" applyFont="1" applyBorder="1" applyAlignment="1">
      <alignment horizontal="left" vertical="center"/>
    </xf>
    <xf numFmtId="0" fontId="112" fillId="0" borderId="16" xfId="0" applyFont="1" applyBorder="1" applyAlignment="1">
      <alignment horizontal="left" vertical="center"/>
    </xf>
    <xf numFmtId="0" fontId="112" fillId="0" borderId="18" xfId="0" applyFont="1" applyBorder="1" applyAlignment="1">
      <alignment horizontal="left" vertical="center"/>
    </xf>
    <xf numFmtId="0" fontId="65" fillId="0" borderId="6" xfId="0" applyFont="1" applyBorder="1" applyAlignment="1">
      <alignment horizontal="left" vertical="center"/>
    </xf>
    <xf numFmtId="0" fontId="65" fillId="0" borderId="16" xfId="0" applyFont="1" applyBorder="1" applyAlignment="1">
      <alignment horizontal="left" vertical="center"/>
    </xf>
    <xf numFmtId="0" fontId="65" fillId="0" borderId="18" xfId="0" applyFont="1" applyBorder="1" applyAlignment="1">
      <alignment horizontal="left" vertical="center"/>
    </xf>
    <xf numFmtId="0" fontId="112" fillId="0" borderId="6" xfId="0" applyFont="1" applyBorder="1" applyAlignment="1">
      <alignment horizontal="left" vertical="center" wrapText="1"/>
    </xf>
    <xf numFmtId="0" fontId="112" fillId="0" borderId="16" xfId="0" applyFont="1" applyBorder="1" applyAlignment="1">
      <alignment horizontal="left" vertical="center" wrapText="1"/>
    </xf>
    <xf numFmtId="0" fontId="112" fillId="0" borderId="18" xfId="0" applyFont="1" applyBorder="1" applyAlignment="1">
      <alignment horizontal="left" vertical="center" wrapText="1"/>
    </xf>
    <xf numFmtId="2" fontId="103" fillId="42" borderId="6" xfId="203" applyNumberFormat="1" applyFont="1" applyFill="1" applyBorder="1" applyAlignment="1" applyProtection="1">
      <alignment horizontal="left" vertical="center" wrapText="1"/>
    </xf>
    <xf numFmtId="2" fontId="103" fillId="42" borderId="16" xfId="203" applyNumberFormat="1" applyFont="1" applyFill="1" applyBorder="1" applyAlignment="1" applyProtection="1">
      <alignment horizontal="left" vertical="center" wrapText="1"/>
    </xf>
    <xf numFmtId="2" fontId="103" fillId="42" borderId="18" xfId="203" applyNumberFormat="1" applyFont="1" applyFill="1" applyBorder="1" applyAlignment="1" applyProtection="1">
      <alignment horizontal="left" vertical="center" wrapText="1"/>
    </xf>
    <xf numFmtId="0" fontId="83" fillId="42" borderId="1" xfId="0" applyFont="1" applyFill="1" applyBorder="1" applyAlignment="1">
      <alignment vertical="center" wrapText="1"/>
    </xf>
    <xf numFmtId="2" fontId="96" fillId="42" borderId="1" xfId="0" applyNumberFormat="1" applyFont="1" applyFill="1" applyBorder="1" applyAlignment="1">
      <alignment horizontal="center" vertical="center" wrapText="1"/>
    </xf>
    <xf numFmtId="0" fontId="90" fillId="0" borderId="6" xfId="0" applyFont="1" applyBorder="1" applyAlignment="1">
      <alignment horizontal="left" vertical="center"/>
    </xf>
    <xf numFmtId="0" fontId="90" fillId="0" borderId="16" xfId="0" applyFont="1" applyBorder="1" applyAlignment="1">
      <alignment horizontal="left" vertical="center"/>
    </xf>
    <xf numFmtId="0" fontId="90" fillId="0" borderId="18" xfId="0" applyFont="1" applyBorder="1" applyAlignment="1">
      <alignment horizontal="left" vertical="center"/>
    </xf>
    <xf numFmtId="0" fontId="114" fillId="0" borderId="6" xfId="0" applyFont="1" applyBorder="1" applyAlignment="1">
      <alignment horizontal="center" vertical="center"/>
    </xf>
    <xf numFmtId="0" fontId="114" fillId="0" borderId="16" xfId="0" applyFont="1" applyBorder="1" applyAlignment="1">
      <alignment horizontal="center" vertical="center"/>
    </xf>
    <xf numFmtId="0" fontId="114" fillId="0" borderId="18" xfId="0" applyFont="1" applyBorder="1" applyAlignment="1">
      <alignment horizontal="center" vertical="center"/>
    </xf>
    <xf numFmtId="0" fontId="116" fillId="0" borderId="6" xfId="0" applyFont="1" applyBorder="1" applyAlignment="1">
      <alignment horizontal="left" vertical="center" wrapText="1"/>
    </xf>
    <xf numFmtId="0" fontId="116" fillId="0" borderId="16" xfId="0" applyFont="1" applyBorder="1" applyAlignment="1">
      <alignment horizontal="left" vertical="center" wrapText="1"/>
    </xf>
    <xf numFmtId="0" fontId="116" fillId="0" borderId="18" xfId="0" applyFont="1" applyBorder="1" applyAlignment="1">
      <alignment horizontal="left" vertical="center" wrapText="1"/>
    </xf>
    <xf numFmtId="0" fontId="65" fillId="0" borderId="21" xfId="0" applyFont="1" applyBorder="1" applyAlignment="1">
      <alignment horizontal="left" vertical="center"/>
    </xf>
    <xf numFmtId="0" fontId="65" fillId="0" borderId="17" xfId="0" applyFont="1" applyBorder="1" applyAlignment="1">
      <alignment horizontal="left" vertical="center"/>
    </xf>
    <xf numFmtId="0" fontId="65" fillId="0" borderId="22" xfId="0" applyFont="1" applyBorder="1" applyAlignment="1">
      <alignment horizontal="left" vertical="center"/>
    </xf>
    <xf numFmtId="0" fontId="65" fillId="0" borderId="5" xfId="0" applyFont="1" applyBorder="1" applyAlignment="1">
      <alignment horizontal="left" vertical="center"/>
    </xf>
    <xf numFmtId="0" fontId="65" fillId="0" borderId="24" xfId="0" applyFont="1" applyBorder="1" applyAlignment="1">
      <alignment horizontal="left" vertical="center"/>
    </xf>
    <xf numFmtId="0" fontId="65" fillId="0" borderId="25" xfId="0" applyFont="1" applyBorder="1" applyAlignment="1">
      <alignment horizontal="left" vertical="center"/>
    </xf>
    <xf numFmtId="0" fontId="103" fillId="0" borderId="6" xfId="211" applyFont="1" applyFill="1" applyBorder="1" applyAlignment="1">
      <alignment horizontal="left" vertical="center" wrapText="1"/>
    </xf>
    <xf numFmtId="0" fontId="103" fillId="0" borderId="16" xfId="211" applyFont="1" applyFill="1" applyBorder="1" applyAlignment="1">
      <alignment horizontal="left" vertical="center" wrapText="1"/>
    </xf>
    <xf numFmtId="0" fontId="100" fillId="0" borderId="1" xfId="211" applyFont="1" applyFill="1" applyBorder="1" applyAlignment="1">
      <alignment vertical="center" wrapText="1"/>
    </xf>
    <xf numFmtId="168" fontId="103" fillId="0" borderId="6" xfId="165" applyNumberFormat="1" applyFont="1" applyBorder="1" applyAlignment="1">
      <alignment horizontal="left" vertical="center" wrapText="1"/>
    </xf>
    <xf numFmtId="168" fontId="103" fillId="0" borderId="16" xfId="165" applyNumberFormat="1" applyFont="1" applyBorder="1" applyAlignment="1">
      <alignment horizontal="left" vertical="center" wrapText="1"/>
    </xf>
    <xf numFmtId="168" fontId="103" fillId="0" borderId="18" xfId="165" applyNumberFormat="1" applyFont="1" applyBorder="1" applyAlignment="1">
      <alignment horizontal="left" vertical="center" wrapText="1"/>
    </xf>
    <xf numFmtId="0" fontId="83" fillId="0" borderId="16" xfId="0" applyFont="1" applyBorder="1" applyAlignment="1">
      <alignment vertical="center" wrapText="1"/>
    </xf>
    <xf numFmtId="168" fontId="103" fillId="0" borderId="1" xfId="165" applyNumberFormat="1" applyFont="1" applyBorder="1" applyAlignment="1">
      <alignment vertical="center" wrapText="1"/>
    </xf>
    <xf numFmtId="0" fontId="90" fillId="0" borderId="23" xfId="0" applyFont="1" applyBorder="1" applyAlignment="1">
      <alignment vertical="center"/>
    </xf>
    <xf numFmtId="0" fontId="90" fillId="0" borderId="0" xfId="0" applyFont="1" applyAlignment="1">
      <alignment vertical="center"/>
    </xf>
    <xf numFmtId="0" fontId="90" fillId="0" borderId="6" xfId="0" applyFont="1" applyBorder="1" applyAlignment="1">
      <alignment vertical="center"/>
    </xf>
    <xf numFmtId="168" fontId="103" fillId="0" borderId="6" xfId="22" applyNumberFormat="1" applyFont="1" applyBorder="1" applyAlignment="1">
      <alignment horizontal="left" vertical="center" wrapText="1"/>
    </xf>
    <xf numFmtId="168" fontId="103" fillId="0" borderId="16" xfId="22" applyNumberFormat="1" applyFont="1" applyBorder="1" applyAlignment="1">
      <alignment horizontal="left" vertical="center" wrapText="1"/>
    </xf>
    <xf numFmtId="168" fontId="103" fillId="0" borderId="18" xfId="22" applyNumberFormat="1" applyFont="1" applyBorder="1" applyAlignment="1">
      <alignment horizontal="left" vertical="center" wrapText="1"/>
    </xf>
    <xf numFmtId="168" fontId="84" fillId="0" borderId="1" xfId="22" applyNumberFormat="1" applyFont="1" applyBorder="1" applyAlignment="1">
      <alignment vertical="center" wrapText="1"/>
    </xf>
    <xf numFmtId="2" fontId="103" fillId="0" borderId="1" xfId="22" applyNumberFormat="1" applyFont="1" applyBorder="1" applyAlignment="1">
      <alignment horizontal="center" vertical="center" wrapText="1"/>
    </xf>
    <xf numFmtId="0" fontId="114" fillId="0" borderId="6" xfId="0" applyFont="1" applyBorder="1" applyAlignment="1">
      <alignment horizontal="center" vertical="center" wrapText="1"/>
    </xf>
    <xf numFmtId="0" fontId="114" fillId="0" borderId="16" xfId="0" applyFont="1" applyBorder="1" applyAlignment="1">
      <alignment horizontal="center" vertical="center" wrapText="1"/>
    </xf>
    <xf numFmtId="0" fontId="114" fillId="0" borderId="18" xfId="0" applyFont="1" applyBorder="1" applyAlignment="1">
      <alignment horizontal="center" vertical="center" wrapText="1"/>
    </xf>
    <xf numFmtId="0" fontId="0" fillId="0" borderId="18" xfId="0" applyBorder="1" applyAlignment="1">
      <alignment vertical="center" wrapText="1"/>
    </xf>
    <xf numFmtId="2" fontId="91" fillId="0" borderId="0" xfId="0" applyNumberFormat="1" applyFont="1" applyAlignment="1">
      <alignment horizontal="center" vertical="center"/>
    </xf>
    <xf numFmtId="0" fontId="99" fillId="0" borderId="27" xfId="0" applyFont="1" applyFill="1" applyBorder="1" applyAlignment="1">
      <alignment horizontal="left" vertical="center"/>
    </xf>
    <xf numFmtId="0" fontId="99" fillId="0" borderId="32" xfId="0" applyFont="1" applyFill="1" applyBorder="1" applyAlignment="1">
      <alignment horizontal="right" vertical="center"/>
    </xf>
    <xf numFmtId="0" fontId="99" fillId="0" borderId="33" xfId="0" applyFont="1" applyFill="1" applyBorder="1" applyAlignment="1">
      <alignment horizontal="right" vertical="center"/>
    </xf>
    <xf numFmtId="0" fontId="99" fillId="0" borderId="34" xfId="0" applyFont="1" applyFill="1" applyBorder="1" applyAlignment="1">
      <alignment horizontal="right" vertical="center"/>
    </xf>
    <xf numFmtId="0" fontId="99" fillId="0" borderId="32" xfId="0" applyFont="1" applyFill="1" applyBorder="1" applyAlignment="1">
      <alignment horizontal="center" vertical="center" wrapText="1"/>
    </xf>
    <xf numFmtId="0" fontId="99" fillId="0" borderId="33" xfId="0" applyFont="1" applyFill="1" applyBorder="1" applyAlignment="1">
      <alignment horizontal="center" vertical="center" wrapText="1"/>
    </xf>
    <xf numFmtId="0" fontId="99" fillId="0" borderId="34" xfId="0" applyFont="1" applyFill="1" applyBorder="1" applyAlignment="1">
      <alignment horizontal="center" vertical="center" wrapText="1"/>
    </xf>
    <xf numFmtId="2" fontId="89" fillId="0" borderId="32" xfId="0" applyNumberFormat="1" applyFont="1" applyBorder="1" applyAlignment="1">
      <alignment horizontal="right" vertical="center"/>
    </xf>
    <xf numFmtId="2" fontId="89" fillId="0" borderId="33" xfId="0" applyNumberFormat="1" applyFont="1" applyBorder="1" applyAlignment="1">
      <alignment horizontal="right" vertical="center"/>
    </xf>
    <xf numFmtId="2" fontId="89" fillId="0" borderId="34" xfId="0" applyNumberFormat="1" applyFont="1" applyBorder="1" applyAlignment="1">
      <alignment horizontal="right" vertical="center"/>
    </xf>
    <xf numFmtId="2" fontId="89" fillId="0" borderId="32" xfId="0" applyNumberFormat="1" applyFont="1" applyBorder="1" applyAlignment="1">
      <alignment horizontal="center" vertical="center"/>
    </xf>
    <xf numFmtId="2" fontId="89" fillId="0" borderId="33" xfId="0" applyNumberFormat="1" applyFont="1" applyBorder="1" applyAlignment="1">
      <alignment horizontal="center" vertical="center"/>
    </xf>
    <xf numFmtId="2" fontId="89" fillId="0" borderId="34" xfId="0" applyNumberFormat="1" applyFont="1" applyBorder="1" applyAlignment="1">
      <alignment horizontal="center" vertical="center"/>
    </xf>
    <xf numFmtId="0" fontId="120" fillId="0" borderId="1" xfId="0" applyFont="1" applyBorder="1" applyAlignment="1">
      <alignment vertical="center"/>
    </xf>
    <xf numFmtId="0" fontId="120" fillId="0" borderId="1" xfId="0" applyFont="1" applyBorder="1" applyAlignment="1">
      <alignment horizontal="center" vertical="center"/>
    </xf>
    <xf numFmtId="0" fontId="83" fillId="0" borderId="18" xfId="0" applyFont="1" applyBorder="1" applyAlignment="1">
      <alignment horizontal="center" vertical="center"/>
    </xf>
    <xf numFmtId="0" fontId="0" fillId="0" borderId="0" xfId="0" applyAlignment="1">
      <alignment vertical="center"/>
    </xf>
    <xf numFmtId="0" fontId="67" fillId="0" borderId="1" xfId="0" applyFont="1" applyBorder="1" applyAlignment="1">
      <alignment horizontal="center" vertical="center"/>
    </xf>
    <xf numFmtId="0" fontId="67" fillId="0" borderId="1" xfId="0" applyFont="1" applyBorder="1" applyAlignment="1">
      <alignment horizontal="center" vertical="center"/>
    </xf>
    <xf numFmtId="0" fontId="67" fillId="0" borderId="6" xfId="0" applyFont="1" applyBorder="1" applyAlignment="1">
      <alignment horizontal="left" vertical="center"/>
    </xf>
    <xf numFmtId="0" fontId="67" fillId="0" borderId="16" xfId="0" applyFont="1" applyBorder="1" applyAlignment="1">
      <alignment horizontal="left" vertical="center"/>
    </xf>
    <xf numFmtId="0" fontId="67" fillId="0" borderId="18" xfId="0" applyFont="1" applyBorder="1" applyAlignment="1">
      <alignment horizontal="left" vertical="center"/>
    </xf>
    <xf numFmtId="0" fontId="1" fillId="0" borderId="1" xfId="0" applyFont="1" applyBorder="1" applyAlignment="1">
      <alignment vertical="center"/>
    </xf>
    <xf numFmtId="2" fontId="0" fillId="0" borderId="1" xfId="0" applyNumberFormat="1" applyFont="1" applyBorder="1" applyAlignment="1">
      <alignment vertical="center"/>
    </xf>
    <xf numFmtId="2" fontId="66" fillId="0" borderId="1" xfId="0" applyNumberFormat="1" applyFont="1" applyBorder="1" applyAlignment="1">
      <alignment horizontal="center" vertical="center"/>
    </xf>
    <xf numFmtId="2" fontId="1" fillId="0" borderId="1" xfId="0" applyNumberFormat="1" applyFont="1" applyBorder="1" applyAlignment="1">
      <alignment vertical="center"/>
    </xf>
    <xf numFmtId="0" fontId="71" fillId="42" borderId="6" xfId="208" applyFont="1" applyFill="1" applyBorder="1" applyAlignment="1">
      <alignment horizontal="left" vertical="center" wrapText="1"/>
    </xf>
    <xf numFmtId="0" fontId="71" fillId="42" borderId="16" xfId="208" applyFont="1" applyFill="1" applyBorder="1" applyAlignment="1">
      <alignment horizontal="left" vertical="center" wrapText="1"/>
    </xf>
    <xf numFmtId="0" fontId="71" fillId="42" borderId="18" xfId="208" applyFont="1" applyFill="1" applyBorder="1" applyAlignment="1">
      <alignment horizontal="left" vertical="center" wrapText="1"/>
    </xf>
    <xf numFmtId="0" fontId="0" fillId="0" borderId="1" xfId="0" applyFont="1" applyBorder="1" applyAlignment="1">
      <alignment vertical="center" wrapText="1"/>
    </xf>
    <xf numFmtId="0" fontId="60" fillId="42" borderId="1" xfId="0" applyFont="1" applyFill="1" applyBorder="1" applyAlignment="1">
      <alignment horizontal="center" vertical="center"/>
    </xf>
    <xf numFmtId="0" fontId="0" fillId="0" borderId="6" xfId="0" applyBorder="1" applyAlignment="1">
      <alignment vertical="center"/>
    </xf>
    <xf numFmtId="0" fontId="0" fillId="0" borderId="16" xfId="0" applyBorder="1" applyAlignment="1">
      <alignment vertical="center"/>
    </xf>
    <xf numFmtId="2" fontId="66" fillId="0" borderId="16" xfId="0" applyNumberFormat="1" applyFont="1" applyBorder="1" applyAlignment="1">
      <alignment horizontal="center" vertical="center"/>
    </xf>
    <xf numFmtId="2" fontId="1" fillId="0" borderId="16" xfId="0" applyNumberFormat="1" applyFont="1" applyBorder="1" applyAlignment="1">
      <alignment vertical="center"/>
    </xf>
    <xf numFmtId="0" fontId="0" fillId="0" borderId="18" xfId="0" applyBorder="1" applyAlignment="1">
      <alignment vertical="center"/>
    </xf>
    <xf numFmtId="0" fontId="75" fillId="42" borderId="6" xfId="121" applyFont="1" applyFill="1" applyBorder="1" applyAlignment="1">
      <alignment horizontal="left" vertical="center" wrapText="1"/>
    </xf>
    <xf numFmtId="0" fontId="75" fillId="42" borderId="16" xfId="121" applyFont="1" applyFill="1" applyBorder="1" applyAlignment="1">
      <alignment horizontal="left" vertical="center" wrapText="1"/>
    </xf>
    <xf numFmtId="0" fontId="75" fillId="42" borderId="18" xfId="121" applyFont="1" applyFill="1" applyBorder="1" applyAlignment="1">
      <alignment horizontal="left" vertical="center" wrapText="1"/>
    </xf>
    <xf numFmtId="0" fontId="75" fillId="42" borderId="6" xfId="121" applyFont="1" applyFill="1" applyBorder="1" applyAlignment="1">
      <alignment horizontal="left" vertical="center" wrapText="1"/>
    </xf>
    <xf numFmtId="0" fontId="75" fillId="42" borderId="16" xfId="121" applyFont="1" applyFill="1" applyBorder="1" applyAlignment="1">
      <alignment horizontal="left" vertical="center" wrapText="1"/>
    </xf>
    <xf numFmtId="0" fontId="75" fillId="42" borderId="18" xfId="121" applyFont="1" applyFill="1" applyBorder="1" applyAlignment="1">
      <alignment horizontal="left" vertical="center" wrapText="1"/>
    </xf>
    <xf numFmtId="2" fontId="1" fillId="0" borderId="6" xfId="0" applyNumberFormat="1" applyFont="1" applyBorder="1" applyAlignment="1">
      <alignment horizontal="center" vertical="center"/>
    </xf>
    <xf numFmtId="2" fontId="1" fillId="0" borderId="16" xfId="0" applyNumberFormat="1" applyFont="1" applyBorder="1" applyAlignment="1">
      <alignment horizontal="center" vertical="center"/>
    </xf>
    <xf numFmtId="2" fontId="1" fillId="0" borderId="18" xfId="0" applyNumberFormat="1" applyFont="1" applyBorder="1" applyAlignment="1">
      <alignment horizontal="center" vertical="center"/>
    </xf>
    <xf numFmtId="0" fontId="0" fillId="0" borderId="1" xfId="0" applyFont="1" applyBorder="1" applyAlignment="1">
      <alignment vertical="center"/>
    </xf>
    <xf numFmtId="188" fontId="0" fillId="0" borderId="1" xfId="0" applyNumberFormat="1" applyBorder="1" applyAlignment="1">
      <alignment horizontal="center" vertical="center"/>
    </xf>
    <xf numFmtId="2" fontId="0" fillId="0" borderId="1" xfId="0" applyNumberFormat="1" applyBorder="1" applyAlignment="1">
      <alignment vertical="center"/>
    </xf>
    <xf numFmtId="187" fontId="0" fillId="0" borderId="1" xfId="0" applyNumberFormat="1" applyBorder="1" applyAlignment="1">
      <alignment horizontal="center" vertical="center"/>
    </xf>
    <xf numFmtId="2" fontId="0" fillId="0" borderId="16" xfId="0" applyNumberFormat="1" applyBorder="1" applyAlignment="1">
      <alignment vertical="center"/>
    </xf>
    <xf numFmtId="2" fontId="1" fillId="0" borderId="16" xfId="0" applyNumberFormat="1" applyFont="1" applyBorder="1" applyAlignment="1">
      <alignment horizontal="center" vertical="center"/>
    </xf>
    <xf numFmtId="0" fontId="66" fillId="0" borderId="1" xfId="0" applyFont="1" applyBorder="1" applyAlignment="1">
      <alignment vertical="center"/>
    </xf>
    <xf numFmtId="0" fontId="1" fillId="0" borderId="1" xfId="0" applyFont="1" applyBorder="1" applyAlignment="1">
      <alignment horizontal="left" vertical="center"/>
    </xf>
    <xf numFmtId="0" fontId="57" fillId="0" borderId="1" xfId="0" applyFont="1" applyBorder="1" applyAlignment="1">
      <alignment vertical="center"/>
    </xf>
    <xf numFmtId="2" fontId="55" fillId="42" borderId="6" xfId="0" applyNumberFormat="1" applyFont="1" applyFill="1" applyBorder="1" applyAlignment="1" applyProtection="1">
      <alignment horizontal="left" vertical="center" wrapText="1"/>
    </xf>
    <xf numFmtId="2" fontId="55" fillId="42" borderId="16" xfId="0" applyNumberFormat="1" applyFont="1" applyFill="1" applyBorder="1" applyAlignment="1" applyProtection="1">
      <alignment horizontal="left" vertical="center" wrapText="1"/>
    </xf>
    <xf numFmtId="2" fontId="55" fillId="42" borderId="18" xfId="0" applyNumberFormat="1" applyFont="1" applyFill="1" applyBorder="1" applyAlignment="1" applyProtection="1">
      <alignment horizontal="left" vertical="center" wrapText="1"/>
    </xf>
    <xf numFmtId="0" fontId="54" fillId="42" borderId="1" xfId="22" applyNumberFormat="1" applyFont="1" applyFill="1" applyBorder="1" applyAlignment="1">
      <alignment horizontal="left" vertical="center" wrapText="1"/>
    </xf>
    <xf numFmtId="2" fontId="55" fillId="42" borderId="6" xfId="22" applyNumberFormat="1" applyFont="1" applyFill="1" applyBorder="1" applyAlignment="1">
      <alignment horizontal="center" vertical="center"/>
    </xf>
    <xf numFmtId="2" fontId="55" fillId="42" borderId="16" xfId="22" applyNumberFormat="1" applyFont="1" applyFill="1" applyBorder="1" applyAlignment="1">
      <alignment horizontal="center" vertical="center"/>
    </xf>
    <xf numFmtId="2" fontId="55" fillId="42" borderId="18" xfId="22" applyNumberFormat="1" applyFont="1" applyFill="1" applyBorder="1" applyAlignment="1">
      <alignment horizontal="center" vertical="center"/>
    </xf>
    <xf numFmtId="0" fontId="54" fillId="42" borderId="6" xfId="22" applyNumberFormat="1" applyFont="1" applyFill="1" applyBorder="1" applyAlignment="1">
      <alignment horizontal="center" vertical="center" wrapText="1"/>
    </xf>
    <xf numFmtId="0" fontId="54" fillId="42" borderId="16" xfId="22" applyNumberFormat="1" applyFont="1" applyFill="1" applyBorder="1" applyAlignment="1">
      <alignment horizontal="center" vertical="center" wrapText="1"/>
    </xf>
    <xf numFmtId="0" fontId="54" fillId="42" borderId="18" xfId="22" applyNumberFormat="1" applyFont="1" applyFill="1" applyBorder="1" applyAlignment="1">
      <alignment horizontal="center" vertical="center" wrapText="1"/>
    </xf>
    <xf numFmtId="0" fontId="55" fillId="42" borderId="1" xfId="22" applyNumberFormat="1" applyFont="1" applyFill="1" applyBorder="1" applyAlignment="1">
      <alignment horizontal="justify" vertical="center" wrapText="1"/>
    </xf>
    <xf numFmtId="2" fontId="55" fillId="42" borderId="1" xfId="22" applyNumberFormat="1" applyFont="1" applyFill="1" applyBorder="1" applyAlignment="1">
      <alignment horizontal="justify" vertical="center" wrapText="1"/>
    </xf>
    <xf numFmtId="0" fontId="55" fillId="42" borderId="1" xfId="22" applyFont="1" applyFill="1" applyBorder="1" applyAlignment="1">
      <alignment vertical="center"/>
    </xf>
    <xf numFmtId="0" fontId="54" fillId="42" borderId="1" xfId="22" applyNumberFormat="1" applyFont="1" applyFill="1" applyBorder="1" applyAlignment="1">
      <alignment horizontal="justify" vertical="center" wrapText="1"/>
    </xf>
    <xf numFmtId="0" fontId="55" fillId="42" borderId="1" xfId="22" applyNumberFormat="1" applyFont="1" applyFill="1" applyBorder="1" applyAlignment="1">
      <alignment horizontal="right" vertical="center" wrapText="1"/>
    </xf>
    <xf numFmtId="0" fontId="55" fillId="42" borderId="1" xfId="22" applyNumberFormat="1" applyFont="1" applyFill="1" applyBorder="1" applyAlignment="1">
      <alignment horizontal="left" vertical="center" wrapText="1"/>
    </xf>
    <xf numFmtId="2" fontId="74" fillId="42" borderId="1" xfId="0" applyNumberFormat="1" applyFont="1" applyFill="1" applyBorder="1" applyAlignment="1">
      <alignment horizontal="right" vertical="center" wrapText="1"/>
    </xf>
    <xf numFmtId="2" fontId="55" fillId="42" borderId="1" xfId="22" applyNumberFormat="1" applyFont="1" applyFill="1" applyBorder="1" applyAlignment="1">
      <alignment horizontal="right" vertical="center"/>
    </xf>
    <xf numFmtId="165" fontId="55" fillId="42" borderId="1" xfId="22" applyNumberFormat="1" applyFont="1" applyFill="1" applyBorder="1" applyAlignment="1">
      <alignment horizontal="right" vertical="center"/>
    </xf>
    <xf numFmtId="165" fontId="74" fillId="42" borderId="1" xfId="0" applyNumberFormat="1" applyFont="1" applyFill="1" applyBorder="1" applyAlignment="1">
      <alignment horizontal="right" vertical="center" wrapText="1"/>
    </xf>
    <xf numFmtId="2" fontId="55" fillId="42" borderId="1" xfId="22" applyNumberFormat="1" applyFont="1" applyFill="1" applyBorder="1" applyAlignment="1">
      <alignment horizontal="center" vertical="center"/>
    </xf>
    <xf numFmtId="185" fontId="74" fillId="42" borderId="1" xfId="195" applyNumberFormat="1" applyFont="1" applyFill="1" applyBorder="1" applyAlignment="1">
      <alignment horizontal="right" vertical="center" wrapText="1"/>
    </xf>
    <xf numFmtId="0" fontId="54" fillId="42" borderId="26" xfId="22" applyNumberFormat="1" applyFont="1" applyFill="1" applyBorder="1" applyAlignment="1">
      <alignment horizontal="justify" vertical="center" wrapText="1"/>
    </xf>
    <xf numFmtId="2" fontId="55" fillId="42" borderId="26" xfId="22" applyNumberFormat="1" applyFont="1" applyFill="1" applyBorder="1" applyAlignment="1">
      <alignment horizontal="right" vertical="center"/>
    </xf>
    <xf numFmtId="2" fontId="55" fillId="42" borderId="26" xfId="22" applyNumberFormat="1" applyFont="1" applyFill="1" applyBorder="1" applyAlignment="1">
      <alignment horizontal="center" vertical="center"/>
    </xf>
    <xf numFmtId="2" fontId="54" fillId="42" borderId="26" xfId="22" applyNumberFormat="1" applyFont="1" applyFill="1" applyBorder="1" applyAlignment="1">
      <alignment horizontal="center" vertical="center"/>
    </xf>
    <xf numFmtId="0" fontId="55" fillId="42" borderId="1" xfId="22" applyFont="1" applyFill="1" applyBorder="1" applyAlignment="1">
      <alignment vertical="center" wrapText="1"/>
    </xf>
    <xf numFmtId="182" fontId="74" fillId="42" borderId="1" xfId="0" applyNumberFormat="1" applyFont="1" applyFill="1" applyBorder="1" applyAlignment="1">
      <alignment horizontal="right" vertical="center" wrapText="1"/>
    </xf>
    <xf numFmtId="2" fontId="55" fillId="42" borderId="1" xfId="22" applyNumberFormat="1" applyFont="1" applyFill="1" applyBorder="1" applyAlignment="1">
      <alignment horizontal="left" vertical="center"/>
    </xf>
    <xf numFmtId="0" fontId="72" fillId="0" borderId="1" xfId="0" applyFont="1" applyFill="1" applyBorder="1" applyAlignment="1">
      <alignment horizontal="justify" vertical="center"/>
    </xf>
    <xf numFmtId="0" fontId="72" fillId="0" borderId="1" xfId="0" applyFont="1" applyFill="1" applyBorder="1" applyAlignment="1">
      <alignment vertical="center" wrapText="1"/>
    </xf>
    <xf numFmtId="0" fontId="73" fillId="0" borderId="1" xfId="0" applyFont="1" applyFill="1" applyBorder="1" applyAlignment="1">
      <alignment horizontal="justify" vertical="center"/>
    </xf>
    <xf numFmtId="2" fontId="72" fillId="45"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80" fillId="0" borderId="6" xfId="0" applyFont="1" applyBorder="1" applyAlignment="1">
      <alignment vertical="center"/>
    </xf>
    <xf numFmtId="0" fontId="0" fillId="0" borderId="2" xfId="0" applyBorder="1" applyAlignment="1">
      <alignment vertical="center"/>
    </xf>
    <xf numFmtId="2" fontId="66" fillId="0" borderId="2" xfId="0" applyNumberFormat="1" applyFont="1" applyBorder="1" applyAlignment="1">
      <alignment horizontal="center" vertical="center"/>
    </xf>
    <xf numFmtId="0" fontId="1" fillId="0" borderId="2" xfId="0" applyFont="1" applyBorder="1" applyAlignment="1">
      <alignment horizontal="left" vertical="center"/>
    </xf>
    <xf numFmtId="0" fontId="0" fillId="0" borderId="1" xfId="0" applyBorder="1" applyAlignment="1">
      <alignment horizontal="right" vertical="center"/>
    </xf>
    <xf numFmtId="0" fontId="0" fillId="0" borderId="16" xfId="0" applyBorder="1" applyAlignment="1">
      <alignment horizontal="center" vertical="center"/>
    </xf>
    <xf numFmtId="0" fontId="0" fillId="0" borderId="18" xfId="0" applyBorder="1" applyAlignment="1">
      <alignment horizontal="center" vertical="center"/>
    </xf>
    <xf numFmtId="0" fontId="76" fillId="0" borderId="1" xfId="0" applyFont="1" applyBorder="1" applyAlignment="1">
      <alignment vertical="center"/>
    </xf>
    <xf numFmtId="0" fontId="76" fillId="42" borderId="1" xfId="0" applyFont="1" applyFill="1" applyBorder="1" applyAlignment="1">
      <alignment vertical="center"/>
    </xf>
    <xf numFmtId="0" fontId="77" fillId="0" borderId="6" xfId="0" applyFont="1" applyBorder="1" applyAlignment="1">
      <alignment horizontal="center" vertical="center"/>
    </xf>
    <xf numFmtId="0" fontId="77" fillId="0" borderId="16" xfId="0" applyFont="1" applyBorder="1" applyAlignment="1">
      <alignment horizontal="center" vertical="center"/>
    </xf>
    <xf numFmtId="0" fontId="77" fillId="0" borderId="18" xfId="0" applyFont="1" applyBorder="1" applyAlignment="1">
      <alignment horizontal="center" vertical="center"/>
    </xf>
    <xf numFmtId="0" fontId="76" fillId="0" borderId="16" xfId="0" applyFont="1" applyBorder="1" applyAlignment="1">
      <alignment vertical="center"/>
    </xf>
    <xf numFmtId="0" fontId="76" fillId="0" borderId="18" xfId="0" applyFont="1" applyBorder="1" applyAlignment="1">
      <alignment vertical="center"/>
    </xf>
    <xf numFmtId="2" fontId="77" fillId="42" borderId="1" xfId="0" applyNumberFormat="1" applyFont="1" applyFill="1" applyBorder="1" applyAlignment="1">
      <alignment horizontal="center" vertical="center"/>
    </xf>
    <xf numFmtId="0" fontId="77" fillId="0" borderId="1" xfId="0" applyFont="1" applyBorder="1" applyAlignment="1">
      <alignment vertical="center"/>
    </xf>
    <xf numFmtId="0" fontId="68" fillId="0" borderId="6" xfId="0" applyFont="1" applyBorder="1" applyAlignment="1">
      <alignment horizontal="center" vertical="center" wrapText="1"/>
    </xf>
    <xf numFmtId="0" fontId="68" fillId="0" borderId="16" xfId="0" applyFont="1" applyBorder="1" applyAlignment="1">
      <alignment horizontal="center" vertical="center" wrapText="1"/>
    </xf>
    <xf numFmtId="0" fontId="68" fillId="0" borderId="18" xfId="0" applyFont="1" applyBorder="1" applyAlignment="1">
      <alignment horizontal="center" vertical="center" wrapText="1"/>
    </xf>
    <xf numFmtId="0" fontId="57" fillId="0" borderId="17" xfId="0" applyFont="1" applyBorder="1" applyAlignment="1">
      <alignment horizontal="center" vertical="center"/>
    </xf>
    <xf numFmtId="0" fontId="57" fillId="0" borderId="1" xfId="0" applyFont="1" applyBorder="1" applyAlignment="1">
      <alignment horizontal="center" vertical="center"/>
    </xf>
    <xf numFmtId="0" fontId="121" fillId="0" borderId="1" xfId="0" applyFont="1" applyBorder="1" applyAlignment="1">
      <alignment horizontal="left" vertical="center" wrapText="1"/>
    </xf>
    <xf numFmtId="0" fontId="121" fillId="0" borderId="1" xfId="0" applyFont="1" applyBorder="1" applyAlignment="1">
      <alignment horizontal="left" vertical="center" wrapText="1"/>
    </xf>
    <xf numFmtId="182" fontId="121" fillId="0" borderId="1" xfId="0" applyNumberFormat="1" applyFont="1" applyFill="1" applyBorder="1" applyAlignment="1">
      <alignment horizontal="center" vertical="center"/>
    </xf>
    <xf numFmtId="2" fontId="123" fillId="0" borderId="1" xfId="86" applyNumberFormat="1" applyFont="1" applyFill="1" applyBorder="1" applyAlignment="1" applyProtection="1">
      <alignment horizontal="center" vertical="center"/>
    </xf>
    <xf numFmtId="183" fontId="121" fillId="0" borderId="1" xfId="86" applyNumberFormat="1" applyFont="1" applyFill="1" applyBorder="1" applyAlignment="1" applyProtection="1">
      <alignment horizontal="center" vertical="center"/>
    </xf>
    <xf numFmtId="2" fontId="121" fillId="0" borderId="1" xfId="209" applyNumberFormat="1" applyFont="1" applyFill="1" applyBorder="1" applyAlignment="1">
      <alignment horizontal="center" vertical="center"/>
    </xf>
    <xf numFmtId="184" fontId="121" fillId="0" borderId="1" xfId="0" applyNumberFormat="1" applyFont="1" applyFill="1" applyBorder="1" applyAlignment="1">
      <alignment horizontal="center" vertical="center"/>
    </xf>
    <xf numFmtId="2" fontId="121" fillId="0" borderId="1" xfId="0" applyNumberFormat="1" applyFont="1" applyFill="1" applyBorder="1" applyAlignment="1">
      <alignment horizontal="center" vertical="center"/>
    </xf>
    <xf numFmtId="185" fontId="121" fillId="0" borderId="1" xfId="0" applyNumberFormat="1" applyFont="1" applyFill="1" applyBorder="1" applyAlignment="1">
      <alignment horizontal="center" vertical="center"/>
    </xf>
    <xf numFmtId="0" fontId="121" fillId="0" borderId="1" xfId="0" applyFont="1" applyFill="1" applyBorder="1" applyAlignment="1">
      <alignment horizontal="center" vertical="center"/>
    </xf>
    <xf numFmtId="0" fontId="66" fillId="0" borderId="1" xfId="0" applyFont="1" applyBorder="1" applyAlignment="1">
      <alignment horizontal="left" vertical="center" wrapText="1"/>
    </xf>
    <xf numFmtId="186" fontId="121" fillId="0" borderId="1" xfId="0" applyNumberFormat="1" applyFont="1" applyFill="1" applyBorder="1" applyAlignment="1">
      <alignment horizontal="center" vertical="center"/>
    </xf>
    <xf numFmtId="0" fontId="78" fillId="42" borderId="1" xfId="0" applyFont="1" applyFill="1" applyBorder="1" applyAlignment="1">
      <alignment horizontal="center" vertical="center"/>
    </xf>
    <xf numFmtId="0" fontId="57" fillId="0" borderId="1" xfId="0" applyFont="1" applyBorder="1" applyAlignment="1">
      <alignment vertical="center" wrapText="1"/>
    </xf>
    <xf numFmtId="188" fontId="70" fillId="0" borderId="1" xfId="0" applyNumberFormat="1" applyFont="1" applyBorder="1" applyAlignment="1">
      <alignment horizontal="left" vertical="center"/>
    </xf>
    <xf numFmtId="2" fontId="70" fillId="0" borderId="1" xfId="0" applyNumberFormat="1" applyFont="1" applyFill="1" applyBorder="1" applyAlignment="1">
      <alignment vertical="center"/>
    </xf>
    <xf numFmtId="2" fontId="70" fillId="0" borderId="1" xfId="20" applyNumberFormat="1" applyFont="1" applyFill="1" applyBorder="1" applyAlignment="1">
      <alignment horizontal="left" vertical="center"/>
    </xf>
    <xf numFmtId="2" fontId="70" fillId="0" borderId="1" xfId="20" applyNumberFormat="1" applyFont="1" applyFill="1" applyBorder="1" applyAlignment="1">
      <alignment vertical="center"/>
    </xf>
    <xf numFmtId="2" fontId="70" fillId="0" borderId="1" xfId="20" applyNumberFormat="1" applyFont="1" applyFill="1" applyBorder="1" applyAlignment="1">
      <alignment horizontal="right" vertical="center"/>
    </xf>
    <xf numFmtId="0" fontId="70" fillId="0" borderId="1" xfId="0" applyFont="1" applyBorder="1" applyAlignment="1">
      <alignment horizontal="left" vertical="center"/>
    </xf>
    <xf numFmtId="0" fontId="57" fillId="0" borderId="1" xfId="0" applyFont="1" applyBorder="1" applyAlignment="1">
      <alignment horizontal="left" vertical="center" wrapText="1"/>
    </xf>
    <xf numFmtId="0" fontId="57" fillId="0" borderId="0" xfId="0" applyFont="1" applyAlignment="1">
      <alignment horizontal="center" vertical="center"/>
    </xf>
    <xf numFmtId="0" fontId="105" fillId="0" borderId="1" xfId="165" applyFont="1" applyBorder="1" applyAlignment="1">
      <alignment horizontal="center" vertical="center"/>
    </xf>
    <xf numFmtId="0" fontId="105" fillId="0" borderId="1" xfId="165" applyFont="1" applyBorder="1" applyAlignment="1">
      <alignment horizontal="left" vertical="center" wrapText="1"/>
    </xf>
    <xf numFmtId="0" fontId="105" fillId="0" borderId="1" xfId="165" applyFont="1" applyBorder="1" applyAlignment="1">
      <alignment vertical="center" wrapText="1"/>
    </xf>
    <xf numFmtId="2" fontId="105" fillId="0" borderId="1" xfId="165" applyNumberFormat="1" applyFont="1" applyBorder="1" applyAlignment="1">
      <alignment horizontal="center" vertical="center"/>
    </xf>
    <xf numFmtId="168" fontId="105" fillId="0" borderId="1" xfId="165" applyNumberFormat="1" applyFont="1" applyBorder="1" applyAlignment="1">
      <alignment horizontal="center" vertical="center" wrapText="1"/>
    </xf>
    <xf numFmtId="0" fontId="105" fillId="24" borderId="1" xfId="165" applyFont="1" applyFill="1" applyBorder="1" applyAlignment="1">
      <alignment horizontal="center" vertical="center"/>
    </xf>
    <xf numFmtId="0" fontId="105" fillId="42" borderId="1" xfId="165" applyFont="1" applyFill="1" applyBorder="1" applyAlignment="1">
      <alignment horizontal="center" vertical="center"/>
    </xf>
    <xf numFmtId="164" fontId="105" fillId="0" borderId="6" xfId="166" applyFont="1" applyBorder="1" applyAlignment="1">
      <alignment vertical="center" wrapText="1"/>
    </xf>
    <xf numFmtId="164" fontId="105" fillId="0" borderId="16" xfId="166" applyFont="1" applyBorder="1" applyAlignment="1">
      <alignment horizontal="justify" vertical="center" wrapText="1"/>
    </xf>
    <xf numFmtId="164" fontId="105" fillId="0" borderId="18" xfId="166" applyFont="1" applyBorder="1" applyAlignment="1">
      <alignment horizontal="justify" vertical="center" wrapText="1"/>
    </xf>
    <xf numFmtId="0" fontId="57" fillId="0" borderId="1" xfId="0" applyFont="1" applyBorder="1" applyAlignment="1">
      <alignment horizontal="left" vertical="center" wrapText="1"/>
    </xf>
    <xf numFmtId="0" fontId="57" fillId="0" borderId="6" xfId="0" applyFont="1" applyBorder="1" applyAlignment="1">
      <alignment horizontal="center" vertical="center" wrapText="1"/>
    </xf>
    <xf numFmtId="0" fontId="57" fillId="0" borderId="16" xfId="0" applyFont="1" applyBorder="1" applyAlignment="1">
      <alignment horizontal="center" vertical="center" wrapText="1"/>
    </xf>
    <xf numFmtId="0" fontId="57" fillId="0" borderId="18" xfId="0" applyFont="1" applyBorder="1" applyAlignment="1">
      <alignment horizontal="center" vertical="center" wrapText="1"/>
    </xf>
    <xf numFmtId="2" fontId="57" fillId="0" borderId="1" xfId="0" applyNumberFormat="1" applyFont="1" applyBorder="1" applyAlignment="1">
      <alignment horizontal="left" vertical="center" wrapText="1"/>
    </xf>
    <xf numFmtId="2" fontId="57" fillId="0" borderId="1" xfId="0" applyNumberFormat="1" applyFont="1" applyBorder="1" applyAlignment="1">
      <alignment horizontal="right" vertical="center" wrapText="1"/>
    </xf>
    <xf numFmtId="0" fontId="57" fillId="0" borderId="0" xfId="0" applyFont="1" applyBorder="1" applyAlignment="1">
      <alignment horizontal="center" vertical="center" wrapText="1"/>
    </xf>
    <xf numFmtId="179" fontId="105" fillId="0" borderId="1" xfId="165" applyNumberFormat="1" applyFont="1" applyBorder="1" applyAlignment="1">
      <alignment horizontal="center" vertical="center"/>
    </xf>
    <xf numFmtId="0" fontId="105" fillId="0" borderId="1" xfId="22" applyFont="1" applyBorder="1" applyAlignment="1">
      <alignment horizontal="center" vertical="center"/>
    </xf>
    <xf numFmtId="0" fontId="105" fillId="0" borderId="1" xfId="22" applyFont="1" applyFill="1" applyBorder="1" applyAlignment="1">
      <alignment horizontal="center" vertical="center"/>
    </xf>
    <xf numFmtId="0" fontId="105" fillId="0" borderId="2" xfId="22" applyFont="1" applyBorder="1" applyAlignment="1">
      <alignment horizontal="center" vertical="center"/>
    </xf>
    <xf numFmtId="0" fontId="121" fillId="0" borderId="6" xfId="0" applyFont="1" applyBorder="1" applyAlignment="1">
      <alignment horizontal="left" vertical="center" wrapText="1"/>
    </xf>
    <xf numFmtId="0" fontId="121" fillId="0" borderId="16" xfId="0" applyFont="1" applyBorder="1" applyAlignment="1">
      <alignment horizontal="left" vertical="center" wrapText="1"/>
    </xf>
    <xf numFmtId="0" fontId="121" fillId="0" borderId="18" xfId="0" applyFont="1" applyBorder="1" applyAlignment="1">
      <alignment horizontal="left" vertical="center" wrapText="1"/>
    </xf>
    <xf numFmtId="0" fontId="57" fillId="0" borderId="0" xfId="0" applyFont="1" applyAlignment="1">
      <alignment vertical="center"/>
    </xf>
    <xf numFmtId="2" fontId="57" fillId="0" borderId="1" xfId="0" applyNumberFormat="1" applyFont="1" applyBorder="1" applyAlignment="1">
      <alignment vertical="center"/>
    </xf>
    <xf numFmtId="2" fontId="66" fillId="0" borderId="1" xfId="0" applyNumberFormat="1" applyFont="1" applyBorder="1" applyAlignment="1">
      <alignment vertical="center"/>
    </xf>
    <xf numFmtId="0" fontId="105" fillId="42" borderId="6" xfId="0" applyFont="1" applyFill="1" applyBorder="1" applyAlignment="1">
      <alignment horizontal="left" vertical="center" wrapText="1"/>
    </xf>
    <xf numFmtId="0" fontId="105" fillId="42" borderId="16" xfId="0" applyFont="1" applyFill="1" applyBorder="1" applyAlignment="1">
      <alignment horizontal="left" vertical="center" wrapText="1"/>
    </xf>
    <xf numFmtId="0" fontId="105" fillId="42" borderId="18" xfId="0" applyFont="1" applyFill="1" applyBorder="1" applyAlignment="1">
      <alignment horizontal="left" vertical="center" wrapText="1"/>
    </xf>
    <xf numFmtId="0" fontId="55" fillId="42" borderId="1" xfId="121" applyNumberFormat="1" applyFont="1" applyFill="1" applyBorder="1" applyAlignment="1" applyProtection="1">
      <alignment horizontal="left" vertical="center" wrapText="1"/>
    </xf>
    <xf numFmtId="0" fontId="57" fillId="0" borderId="3" xfId="0" applyFont="1" applyFill="1" applyBorder="1" applyAlignment="1">
      <alignment vertical="center"/>
    </xf>
    <xf numFmtId="0" fontId="57" fillId="0" borderId="0" xfId="0" applyFont="1" applyBorder="1" applyAlignment="1">
      <alignment vertical="center"/>
    </xf>
    <xf numFmtId="0" fontId="105" fillId="42" borderId="0" xfId="208" applyFont="1" applyFill="1" applyBorder="1" applyAlignment="1">
      <alignment vertical="center" wrapText="1"/>
    </xf>
    <xf numFmtId="0" fontId="55" fillId="42" borderId="26" xfId="22" applyFont="1" applyFill="1" applyBorder="1" applyAlignment="1">
      <alignment horizontal="center" vertical="center"/>
    </xf>
    <xf numFmtId="2" fontId="122" fillId="42" borderId="1" xfId="0" applyNumberFormat="1" applyFont="1" applyFill="1" applyBorder="1" applyAlignment="1">
      <alignment horizontal="right" vertical="center" wrapText="1"/>
    </xf>
    <xf numFmtId="165" fontId="122" fillId="42" borderId="1" xfId="0" applyNumberFormat="1" applyFont="1" applyFill="1" applyBorder="1" applyAlignment="1">
      <alignment horizontal="right" vertical="center" wrapText="1"/>
    </xf>
    <xf numFmtId="185" fontId="122" fillId="42" borderId="1" xfId="195" applyNumberFormat="1" applyFont="1" applyFill="1" applyBorder="1" applyAlignment="1">
      <alignment horizontal="right" vertical="center" wrapText="1"/>
    </xf>
    <xf numFmtId="182" fontId="122" fillId="42" borderId="1" xfId="0" applyNumberFormat="1" applyFont="1" applyFill="1" applyBorder="1" applyAlignment="1">
      <alignment horizontal="right" vertical="center" wrapText="1"/>
    </xf>
    <xf numFmtId="0" fontId="121" fillId="0" borderId="1" xfId="0" applyFont="1" applyFill="1" applyBorder="1" applyAlignment="1">
      <alignment horizontal="justify" vertical="center"/>
    </xf>
    <xf numFmtId="0" fontId="121" fillId="0" borderId="1" xfId="0" applyFont="1" applyFill="1" applyBorder="1" applyAlignment="1">
      <alignment vertical="center" wrapText="1"/>
    </xf>
    <xf numFmtId="0" fontId="123" fillId="0" borderId="1" xfId="0" applyFont="1" applyFill="1" applyBorder="1" applyAlignment="1">
      <alignment horizontal="justify" vertical="center"/>
    </xf>
    <xf numFmtId="2" fontId="121" fillId="45" borderId="1" xfId="0" applyNumberFormat="1" applyFont="1" applyFill="1" applyBorder="1" applyAlignment="1">
      <alignment horizontal="center" vertical="center"/>
    </xf>
    <xf numFmtId="0" fontId="105" fillId="42" borderId="1" xfId="208" applyFont="1" applyFill="1" applyBorder="1" applyAlignment="1">
      <alignment horizontal="left" vertical="center" wrapText="1"/>
    </xf>
    <xf numFmtId="0" fontId="105" fillId="42" borderId="1" xfId="208" applyFont="1" applyFill="1" applyBorder="1" applyAlignment="1">
      <alignment horizontal="left" vertical="center" wrapText="1"/>
    </xf>
    <xf numFmtId="0" fontId="57" fillId="0" borderId="6" xfId="0" applyFont="1" applyBorder="1" applyAlignment="1">
      <alignment horizontal="left" vertical="center"/>
    </xf>
    <xf numFmtId="0" fontId="57" fillId="0" borderId="16" xfId="0" applyFont="1" applyBorder="1" applyAlignment="1">
      <alignment horizontal="left" vertical="center"/>
    </xf>
    <xf numFmtId="0" fontId="57" fillId="0" borderId="18" xfId="0" applyFont="1" applyBorder="1" applyAlignment="1">
      <alignment horizontal="left" vertical="center"/>
    </xf>
    <xf numFmtId="0" fontId="57" fillId="0" borderId="16" xfId="0" applyFont="1" applyBorder="1" applyAlignment="1">
      <alignment vertical="center"/>
    </xf>
    <xf numFmtId="0" fontId="57" fillId="0" borderId="18" xfId="0" applyFont="1" applyBorder="1" applyAlignment="1">
      <alignment vertical="center"/>
    </xf>
    <xf numFmtId="0" fontId="57" fillId="0" borderId="0" xfId="0" applyFont="1" applyBorder="1" applyAlignment="1">
      <alignment vertical="center" wrapText="1"/>
    </xf>
    <xf numFmtId="0" fontId="6" fillId="42" borderId="1" xfId="211" applyNumberFormat="1" applyFont="1" applyFill="1" applyBorder="1" applyAlignment="1">
      <alignment horizontal="justify" vertical="center" wrapText="1"/>
    </xf>
    <xf numFmtId="0" fontId="105" fillId="42" borderId="1" xfId="211" applyFont="1" applyFill="1" applyBorder="1" applyAlignment="1">
      <alignment horizontal="right" vertical="center" wrapText="1"/>
    </xf>
    <xf numFmtId="0" fontId="105" fillId="42" borderId="1" xfId="211" applyFont="1" applyFill="1" applyBorder="1" applyAlignment="1">
      <alignment horizontal="left" vertical="center" wrapText="1"/>
    </xf>
    <xf numFmtId="0" fontId="105" fillId="42" borderId="1" xfId="211" applyFont="1" applyFill="1" applyBorder="1" applyAlignment="1">
      <alignment horizontal="center" vertical="center" wrapText="1"/>
    </xf>
    <xf numFmtId="0" fontId="6" fillId="42" borderId="1" xfId="211" applyFont="1" applyFill="1" applyBorder="1" applyAlignment="1">
      <alignment horizontal="left" vertical="center" wrapText="1"/>
    </xf>
    <xf numFmtId="0" fontId="105" fillId="42" borderId="1" xfId="211" applyNumberFormat="1" applyFont="1" applyFill="1" applyBorder="1" applyAlignment="1">
      <alignment horizontal="justify" vertical="center" wrapText="1"/>
    </xf>
    <xf numFmtId="2" fontId="105" fillId="42" borderId="1" xfId="211" applyNumberFormat="1" applyFont="1" applyFill="1" applyBorder="1" applyAlignment="1">
      <alignment horizontal="right" vertical="center" wrapText="1"/>
    </xf>
    <xf numFmtId="2" fontId="105" fillId="42" borderId="1" xfId="211" applyNumberFormat="1" applyFont="1" applyFill="1" applyBorder="1" applyAlignment="1">
      <alignment horizontal="center" vertical="center" wrapText="1"/>
    </xf>
    <xf numFmtId="182" fontId="105" fillId="42" borderId="1" xfId="211" applyNumberFormat="1" applyFont="1" applyFill="1" applyBorder="1" applyAlignment="1">
      <alignment horizontal="center" vertical="center" wrapText="1"/>
    </xf>
    <xf numFmtId="187" fontId="105" fillId="42" borderId="1" xfId="211" applyNumberFormat="1" applyFont="1" applyFill="1" applyBorder="1" applyAlignment="1">
      <alignment horizontal="right" vertical="center" wrapText="1"/>
    </xf>
    <xf numFmtId="2" fontId="6" fillId="42" borderId="1" xfId="211" applyNumberFormat="1" applyFont="1" applyFill="1" applyBorder="1" applyAlignment="1">
      <alignment horizontal="right" vertical="center" wrapText="1"/>
    </xf>
    <xf numFmtId="0" fontId="105" fillId="0" borderId="6" xfId="211" applyFont="1" applyFill="1" applyBorder="1" applyAlignment="1">
      <alignment horizontal="left" vertical="center" wrapText="1"/>
    </xf>
    <xf numFmtId="0" fontId="105" fillId="0" borderId="16" xfId="211" applyFont="1" applyFill="1" applyBorder="1" applyAlignment="1">
      <alignment horizontal="left" vertical="center" wrapText="1"/>
    </xf>
    <xf numFmtId="0" fontId="105" fillId="0" borderId="18" xfId="211" applyFont="1" applyFill="1" applyBorder="1" applyAlignment="1">
      <alignment horizontal="left" vertical="center" wrapText="1"/>
    </xf>
    <xf numFmtId="182" fontId="81" fillId="0" borderId="1" xfId="0" applyNumberFormat="1" applyFont="1" applyFill="1" applyBorder="1" applyAlignment="1">
      <alignment horizontal="justify" vertical="center" wrapText="1"/>
    </xf>
    <xf numFmtId="182" fontId="70" fillId="0" borderId="1" xfId="0" applyNumberFormat="1" applyFont="1" applyFill="1" applyBorder="1" applyAlignment="1">
      <alignment horizontal="right" vertical="center" wrapText="1"/>
    </xf>
    <xf numFmtId="182" fontId="70" fillId="0" borderId="1" xfId="0" applyNumberFormat="1" applyFont="1" applyFill="1" applyBorder="1" applyAlignment="1">
      <alignment horizontal="center" vertical="center" wrapText="1"/>
    </xf>
    <xf numFmtId="0" fontId="70" fillId="0" borderId="1" xfId="0" applyFont="1" applyFill="1" applyBorder="1" applyAlignment="1">
      <alignment horizontal="center" vertical="center" wrapText="1"/>
    </xf>
    <xf numFmtId="0" fontId="70" fillId="0" borderId="1" xfId="0" applyFont="1" applyFill="1" applyBorder="1" applyAlignment="1">
      <alignment vertical="center"/>
    </xf>
    <xf numFmtId="182" fontId="70" fillId="0" borderId="1" xfId="0" applyNumberFormat="1" applyFont="1" applyFill="1" applyBorder="1" applyAlignment="1">
      <alignment horizontal="justify" vertical="center" wrapText="1"/>
    </xf>
    <xf numFmtId="189" fontId="70" fillId="0" borderId="1" xfId="212" applyNumberFormat="1" applyFont="1" applyFill="1" applyBorder="1" applyAlignment="1">
      <alignment horizontal="left" vertical="center"/>
    </xf>
    <xf numFmtId="2" fontId="70" fillId="0" borderId="1" xfId="0" applyNumberFormat="1" applyFont="1" applyFill="1" applyBorder="1" applyAlignment="1">
      <alignment horizontal="right" vertical="center" wrapText="1"/>
    </xf>
    <xf numFmtId="185" fontId="70" fillId="0" borderId="1" xfId="0" applyNumberFormat="1" applyFont="1" applyFill="1" applyBorder="1" applyAlignment="1">
      <alignment horizontal="right" vertical="center" wrapText="1"/>
    </xf>
    <xf numFmtId="182" fontId="70" fillId="0" borderId="1" xfId="0" applyNumberFormat="1" applyFont="1" applyFill="1" applyBorder="1" applyAlignment="1">
      <alignment horizontal="left" vertical="center" wrapText="1"/>
    </xf>
    <xf numFmtId="0" fontId="70" fillId="0" borderId="1" xfId="0" applyFont="1" applyFill="1" applyBorder="1" applyAlignment="1">
      <alignment horizontal="left" vertical="center" wrapText="1"/>
    </xf>
    <xf numFmtId="2" fontId="70" fillId="0" borderId="1" xfId="177" applyNumberFormat="1" applyFont="1" applyFill="1" applyBorder="1" applyAlignment="1">
      <alignment horizontal="right" vertical="center"/>
    </xf>
    <xf numFmtId="182" fontId="70" fillId="0" borderId="1" xfId="177" applyNumberFormat="1" applyFont="1" applyFill="1" applyBorder="1" applyAlignment="1">
      <alignment horizontal="center" vertical="center"/>
    </xf>
    <xf numFmtId="0" fontId="70" fillId="0" borderId="1" xfId="177" applyFont="1" applyFill="1" applyBorder="1" applyAlignment="1">
      <alignment horizontal="left" vertical="center"/>
    </xf>
    <xf numFmtId="2" fontId="81" fillId="0" borderId="1" xfId="0" applyNumberFormat="1" applyFont="1" applyFill="1" applyBorder="1" applyAlignment="1">
      <alignment horizontal="right" vertical="center" wrapText="1"/>
    </xf>
    <xf numFmtId="0" fontId="70" fillId="46" borderId="1" xfId="0" applyFont="1" applyFill="1" applyBorder="1" applyAlignment="1">
      <alignment vertical="center" wrapText="1"/>
    </xf>
    <xf numFmtId="2" fontId="105" fillId="0" borderId="1" xfId="211" applyNumberFormat="1" applyFont="1" applyFill="1" applyBorder="1" applyAlignment="1">
      <alignment horizontal="right" vertical="center"/>
    </xf>
    <xf numFmtId="0" fontId="70" fillId="0" borderId="1" xfId="177" applyFont="1" applyFill="1" applyBorder="1" applyAlignment="1">
      <alignment horizontal="right" vertical="center"/>
    </xf>
    <xf numFmtId="174" fontId="70" fillId="0" borderId="1" xfId="20" applyNumberFormat="1" applyFont="1" applyFill="1" applyBorder="1" applyAlignment="1" applyProtection="1">
      <alignment horizontal="center" vertical="center"/>
    </xf>
    <xf numFmtId="174" fontId="81" fillId="0" borderId="1" xfId="20" applyNumberFormat="1" applyFont="1" applyFill="1" applyBorder="1" applyAlignment="1" applyProtection="1">
      <alignment horizontal="center" vertical="center"/>
    </xf>
    <xf numFmtId="0" fontId="81" fillId="0" borderId="1" xfId="177" applyFont="1" applyFill="1" applyBorder="1" applyAlignment="1">
      <alignment vertical="center" wrapText="1"/>
    </xf>
    <xf numFmtId="0" fontId="66" fillId="0" borderId="1" xfId="0" applyFont="1" applyBorder="1" applyAlignment="1">
      <alignment horizontal="center" vertical="center"/>
    </xf>
    <xf numFmtId="0" fontId="66" fillId="0" borderId="1" xfId="0" applyFont="1" applyBorder="1" applyAlignment="1">
      <alignment horizontal="left" vertical="center"/>
    </xf>
    <xf numFmtId="0" fontId="105" fillId="42" borderId="1" xfId="211" applyFont="1" applyFill="1" applyBorder="1" applyAlignment="1">
      <alignment horizontal="left" vertical="center" wrapText="1"/>
    </xf>
    <xf numFmtId="0" fontId="70" fillId="42" borderId="0" xfId="118" applyFont="1" applyFill="1" applyBorder="1" applyAlignment="1">
      <alignment vertical="center" wrapText="1"/>
    </xf>
    <xf numFmtId="0" fontId="105" fillId="42" borderId="1" xfId="209" applyFont="1" applyFill="1" applyBorder="1" applyAlignment="1">
      <alignment horizontal="justify" vertical="center"/>
    </xf>
    <xf numFmtId="190" fontId="105" fillId="42" borderId="1" xfId="213" applyNumberFormat="1" applyFont="1" applyFill="1" applyBorder="1" applyAlignment="1" applyProtection="1">
      <alignment horizontal="center" vertical="center"/>
    </xf>
    <xf numFmtId="190" fontId="105" fillId="42" borderId="1" xfId="213" applyNumberFormat="1" applyFont="1" applyFill="1" applyBorder="1" applyAlignment="1" applyProtection="1">
      <alignment horizontal="justify" vertical="center"/>
    </xf>
    <xf numFmtId="190" fontId="105" fillId="42" borderId="1" xfId="213" applyNumberFormat="1" applyFont="1" applyFill="1" applyBorder="1" applyAlignment="1" applyProtection="1">
      <alignment horizontal="right" vertical="center"/>
    </xf>
    <xf numFmtId="0" fontId="105" fillId="42" borderId="1" xfId="209" applyFont="1" applyFill="1" applyBorder="1" applyAlignment="1">
      <alignment horizontal="left" vertical="center" wrapText="1"/>
    </xf>
    <xf numFmtId="0" fontId="70" fillId="42" borderId="1" xfId="118" applyFont="1" applyFill="1" applyBorder="1" applyAlignment="1">
      <alignment horizontal="left" vertical="center" wrapText="1"/>
    </xf>
    <xf numFmtId="0" fontId="6" fillId="42" borderId="1" xfId="209" applyFont="1" applyFill="1" applyBorder="1" applyAlignment="1">
      <alignment vertical="center" wrapText="1"/>
    </xf>
    <xf numFmtId="2" fontId="105" fillId="42" borderId="1" xfId="209" applyNumberFormat="1" applyFont="1" applyFill="1" applyBorder="1" applyAlignment="1">
      <alignment horizontal="right" vertical="center"/>
    </xf>
    <xf numFmtId="2" fontId="105" fillId="42" borderId="1" xfId="120" applyNumberFormat="1" applyFont="1" applyFill="1" applyBorder="1" applyAlignment="1">
      <alignment horizontal="center" vertical="center"/>
    </xf>
    <xf numFmtId="0" fontId="70" fillId="42" borderId="2" xfId="118" applyFont="1" applyFill="1" applyBorder="1" applyAlignment="1">
      <alignment horizontal="left" vertical="center" wrapText="1"/>
    </xf>
    <xf numFmtId="0" fontId="105" fillId="42" borderId="1" xfId="209" applyFont="1" applyFill="1" applyBorder="1" applyAlignment="1">
      <alignment vertical="center" wrapText="1"/>
    </xf>
    <xf numFmtId="2" fontId="105" fillId="42" borderId="1" xfId="211" applyNumberFormat="1" applyFont="1" applyFill="1" applyBorder="1" applyAlignment="1">
      <alignment horizontal="center" vertical="center"/>
    </xf>
    <xf numFmtId="0" fontId="105" fillId="42" borderId="1" xfId="211" applyFont="1" applyFill="1" applyBorder="1" applyAlignment="1">
      <alignment vertical="center"/>
    </xf>
    <xf numFmtId="2" fontId="105" fillId="42" borderId="1" xfId="87" applyNumberFormat="1" applyFont="1" applyFill="1" applyBorder="1" applyAlignment="1" applyProtection="1">
      <alignment horizontal="right" vertical="center"/>
    </xf>
    <xf numFmtId="182" fontId="105" fillId="42" borderId="1" xfId="209" applyNumberFormat="1" applyFont="1" applyFill="1" applyBorder="1" applyAlignment="1">
      <alignment horizontal="left" vertical="center"/>
    </xf>
    <xf numFmtId="2" fontId="105" fillId="42" borderId="1" xfId="213" applyNumberFormat="1" applyFont="1" applyFill="1" applyBorder="1" applyAlignment="1" applyProtection="1">
      <alignment horizontal="left" vertical="center"/>
    </xf>
    <xf numFmtId="2" fontId="105" fillId="42" borderId="1" xfId="87" applyNumberFormat="1" applyFont="1" applyFill="1" applyBorder="1" applyAlignment="1" applyProtection="1">
      <alignment horizontal="left" vertical="center"/>
    </xf>
    <xf numFmtId="2" fontId="105" fillId="42" borderId="1" xfId="87" applyNumberFormat="1" applyFont="1" applyFill="1" applyBorder="1" applyAlignment="1" applyProtection="1">
      <alignment horizontal="center" vertical="center"/>
    </xf>
    <xf numFmtId="187" fontId="105" fillId="42" borderId="1" xfId="213" applyNumberFormat="1" applyFont="1" applyFill="1" applyBorder="1" applyAlignment="1" applyProtection="1">
      <alignment horizontal="right" vertical="center"/>
    </xf>
    <xf numFmtId="2" fontId="105" fillId="42" borderId="1" xfId="120" applyNumberFormat="1" applyFont="1" applyFill="1" applyBorder="1" applyAlignment="1">
      <alignment horizontal="center" vertical="center" wrapText="1"/>
    </xf>
    <xf numFmtId="2" fontId="105" fillId="42" borderId="1" xfId="214" applyNumberFormat="1" applyFont="1" applyFill="1" applyBorder="1" applyAlignment="1" applyProtection="1">
      <alignment horizontal="center" vertical="center" wrapText="1"/>
    </xf>
    <xf numFmtId="169" fontId="105" fillId="42" borderId="1" xfId="210" applyNumberFormat="1" applyFont="1" applyFill="1" applyBorder="1" applyAlignment="1">
      <alignment horizontal="right" vertical="center"/>
    </xf>
    <xf numFmtId="0" fontId="126" fillId="42" borderId="1" xfId="211" applyFont="1" applyFill="1" applyBorder="1" applyAlignment="1">
      <alignment horizontal="left" vertical="center"/>
    </xf>
    <xf numFmtId="0" fontId="126" fillId="42" borderId="1" xfId="211" applyFont="1" applyFill="1" applyBorder="1" applyAlignment="1">
      <alignment horizontal="left" vertical="center" wrapText="1"/>
    </xf>
    <xf numFmtId="0" fontId="127" fillId="42" borderId="1" xfId="211" applyFont="1" applyFill="1" applyBorder="1" applyAlignment="1">
      <alignment vertical="center"/>
    </xf>
    <xf numFmtId="165" fontId="126" fillId="42" borderId="1" xfId="211" applyNumberFormat="1" applyFont="1" applyFill="1" applyBorder="1" applyAlignment="1">
      <alignment horizontal="right" vertical="center"/>
    </xf>
    <xf numFmtId="2" fontId="126" fillId="42" borderId="1" xfId="211" applyNumberFormat="1" applyFont="1" applyFill="1" applyBorder="1" applyAlignment="1">
      <alignment horizontal="center" vertical="center"/>
    </xf>
    <xf numFmtId="0" fontId="126" fillId="42" borderId="1" xfId="211" applyFont="1" applyFill="1" applyBorder="1" applyAlignment="1">
      <alignment vertical="center"/>
    </xf>
    <xf numFmtId="2" fontId="70" fillId="42" borderId="2" xfId="118" applyNumberFormat="1" applyFont="1" applyFill="1" applyBorder="1" applyAlignment="1">
      <alignment horizontal="right" vertical="center" wrapText="1"/>
    </xf>
    <xf numFmtId="2" fontId="81" fillId="42" borderId="1" xfId="118" applyNumberFormat="1" applyFont="1" applyFill="1" applyBorder="1" applyAlignment="1">
      <alignment horizontal="right" vertical="center" wrapText="1"/>
    </xf>
    <xf numFmtId="168" fontId="105" fillId="0" borderId="6" xfId="165" applyNumberFormat="1" applyFont="1" applyBorder="1" applyAlignment="1">
      <alignment horizontal="left" vertical="center" wrapText="1"/>
    </xf>
    <xf numFmtId="168" fontId="105" fillId="0" borderId="16" xfId="165" applyNumberFormat="1" applyFont="1" applyBorder="1" applyAlignment="1">
      <alignment horizontal="left" vertical="center" wrapText="1"/>
    </xf>
    <xf numFmtId="168" fontId="105" fillId="0" borderId="18" xfId="165" applyNumberFormat="1" applyFont="1" applyBorder="1" applyAlignment="1">
      <alignment horizontal="left" vertical="center" wrapText="1"/>
    </xf>
    <xf numFmtId="0" fontId="105" fillId="0" borderId="1" xfId="165" applyFont="1" applyBorder="1" applyAlignment="1">
      <alignment vertical="center"/>
    </xf>
    <xf numFmtId="168" fontId="6" fillId="0" borderId="1" xfId="165" applyNumberFormat="1" applyFont="1" applyBorder="1" applyAlignment="1">
      <alignment horizontal="center" vertical="center" wrapText="1"/>
    </xf>
    <xf numFmtId="0" fontId="6" fillId="0" borderId="1" xfId="165" applyFont="1" applyBorder="1" applyAlignment="1">
      <alignment vertical="center"/>
    </xf>
    <xf numFmtId="168" fontId="6" fillId="0" borderId="1" xfId="165" applyNumberFormat="1" applyFont="1" applyBorder="1" applyAlignment="1">
      <alignment horizontal="center" vertical="center" wrapText="1"/>
    </xf>
    <xf numFmtId="180" fontId="105" fillId="0" borderId="1" xfId="165" applyNumberFormat="1" applyFont="1" applyBorder="1" applyAlignment="1">
      <alignment horizontal="center" vertical="center" wrapText="1"/>
    </xf>
    <xf numFmtId="179" fontId="105" fillId="0" borderId="1" xfId="165" applyNumberFormat="1" applyFont="1" applyBorder="1" applyAlignment="1">
      <alignment horizontal="center" vertical="center" wrapText="1"/>
    </xf>
    <xf numFmtId="0" fontId="81" fillId="42" borderId="6" xfId="118" applyFont="1" applyFill="1" applyBorder="1" applyAlignment="1">
      <alignment horizontal="center" vertical="center" wrapText="1"/>
    </xf>
    <xf numFmtId="0" fontId="81" fillId="42" borderId="18" xfId="118" applyFont="1" applyFill="1" applyBorder="1" applyAlignment="1">
      <alignment horizontal="center" vertical="center" wrapText="1"/>
    </xf>
    <xf numFmtId="178" fontId="105" fillId="0" borderId="1" xfId="165" applyNumberFormat="1" applyFont="1" applyBorder="1" applyAlignment="1">
      <alignment horizontal="center" vertical="center" wrapText="1"/>
    </xf>
    <xf numFmtId="0" fontId="105" fillId="0" borderId="1" xfId="165" applyFont="1" applyFill="1" applyBorder="1" applyAlignment="1">
      <alignment vertical="center" wrapText="1"/>
    </xf>
    <xf numFmtId="10" fontId="105" fillId="0" borderId="1" xfId="165" applyNumberFormat="1" applyFont="1" applyBorder="1" applyAlignment="1">
      <alignment vertical="center"/>
    </xf>
    <xf numFmtId="0" fontId="6" fillId="24" borderId="1" xfId="165" applyFont="1" applyFill="1" applyBorder="1" applyAlignment="1">
      <alignment vertical="center"/>
    </xf>
    <xf numFmtId="2" fontId="6" fillId="24" borderId="6" xfId="165" applyNumberFormat="1" applyFont="1" applyFill="1" applyBorder="1" applyAlignment="1">
      <alignment horizontal="center" vertical="center"/>
    </xf>
    <xf numFmtId="2" fontId="6" fillId="24" borderId="16" xfId="165" applyNumberFormat="1" applyFont="1" applyFill="1" applyBorder="1" applyAlignment="1">
      <alignment horizontal="center" vertical="center"/>
    </xf>
    <xf numFmtId="2" fontId="6" fillId="24" borderId="18" xfId="165" applyNumberFormat="1" applyFont="1" applyFill="1" applyBorder="1" applyAlignment="1">
      <alignment horizontal="center" vertical="center"/>
    </xf>
    <xf numFmtId="2" fontId="6" fillId="0" borderId="1" xfId="165" applyNumberFormat="1" applyFont="1" applyBorder="1" applyAlignment="1">
      <alignment horizontal="center" vertical="center"/>
    </xf>
    <xf numFmtId="0" fontId="81" fillId="42" borderId="1" xfId="118" applyFont="1" applyFill="1" applyBorder="1" applyAlignment="1">
      <alignment horizontal="left" vertical="center" wrapText="1"/>
    </xf>
    <xf numFmtId="0" fontId="6" fillId="0" borderId="0" xfId="165" applyFont="1" applyAlignment="1">
      <alignment horizontal="left" vertical="center"/>
    </xf>
    <xf numFmtId="168" fontId="105" fillId="0" borderId="16" xfId="165" applyNumberFormat="1" applyFont="1" applyBorder="1" applyAlignment="1">
      <alignment horizontal="justify" vertical="center" wrapText="1"/>
    </xf>
    <xf numFmtId="168" fontId="6" fillId="0" borderId="16" xfId="165" applyNumberFormat="1" applyFont="1" applyBorder="1" applyAlignment="1">
      <alignment horizontal="center" vertical="center" wrapText="1"/>
    </xf>
    <xf numFmtId="168" fontId="105" fillId="0" borderId="18" xfId="165" applyNumberFormat="1" applyFont="1" applyBorder="1" applyAlignment="1">
      <alignment horizontal="justify" vertical="center" wrapText="1"/>
    </xf>
    <xf numFmtId="168" fontId="105" fillId="0" borderId="6" xfId="165" applyNumberFormat="1" applyFont="1" applyBorder="1" applyAlignment="1">
      <alignment horizontal="justify" vertical="center" wrapText="1"/>
    </xf>
    <xf numFmtId="2" fontId="105" fillId="0" borderId="1" xfId="165" applyNumberFormat="1" applyFont="1" applyBorder="1" applyAlignment="1">
      <alignment vertical="center"/>
    </xf>
    <xf numFmtId="0" fontId="105" fillId="0" borderId="4" xfId="165" applyFont="1" applyFill="1" applyBorder="1" applyAlignment="1">
      <alignment vertical="center"/>
    </xf>
    <xf numFmtId="2" fontId="105" fillId="0" borderId="1" xfId="165" quotePrefix="1" applyNumberFormat="1" applyFont="1" applyBorder="1" applyAlignment="1">
      <alignment horizontal="right" vertical="center"/>
    </xf>
    <xf numFmtId="169" fontId="105" fillId="0" borderId="1" xfId="165" applyNumberFormat="1" applyFont="1" applyBorder="1" applyAlignment="1">
      <alignment vertical="center"/>
    </xf>
    <xf numFmtId="0" fontId="105" fillId="42" borderId="1" xfId="165" applyFont="1" applyFill="1" applyBorder="1" applyAlignment="1">
      <alignment vertical="center"/>
    </xf>
    <xf numFmtId="2" fontId="105" fillId="42" borderId="6" xfId="165" applyNumberFormat="1" applyFont="1" applyFill="1" applyBorder="1" applyAlignment="1">
      <alignment horizontal="center" vertical="center"/>
    </xf>
    <xf numFmtId="2" fontId="105" fillId="42" borderId="16" xfId="165" applyNumberFormat="1" applyFont="1" applyFill="1" applyBorder="1" applyAlignment="1">
      <alignment horizontal="center" vertical="center"/>
    </xf>
    <xf numFmtId="2" fontId="105" fillId="42" borderId="18" xfId="165" applyNumberFormat="1" applyFont="1" applyFill="1" applyBorder="1" applyAlignment="1">
      <alignment horizontal="center" vertical="center"/>
    </xf>
    <xf numFmtId="0" fontId="105" fillId="24" borderId="1" xfId="165" applyFont="1" applyFill="1" applyBorder="1" applyAlignment="1">
      <alignment vertical="center"/>
    </xf>
    <xf numFmtId="168" fontId="105" fillId="0" borderId="1" xfId="165" applyNumberFormat="1" applyFont="1" applyBorder="1" applyAlignment="1">
      <alignment horizontal="left" vertical="center" wrapText="1"/>
    </xf>
    <xf numFmtId="168" fontId="105" fillId="0" borderId="1" xfId="165" applyNumberFormat="1" applyFont="1" applyBorder="1" applyAlignment="1">
      <alignment horizontal="left" vertical="center" wrapText="1"/>
    </xf>
    <xf numFmtId="2" fontId="6" fillId="24" borderId="1" xfId="165" applyNumberFormat="1" applyFont="1" applyFill="1" applyBorder="1" applyAlignment="1">
      <alignment horizontal="center" vertical="center"/>
    </xf>
    <xf numFmtId="0" fontId="57" fillId="0" borderId="2" xfId="0" applyFont="1" applyBorder="1" applyAlignment="1">
      <alignment vertical="center"/>
    </xf>
    <xf numFmtId="0" fontId="6" fillId="0" borderId="1" xfId="22" applyFont="1" applyFill="1" applyBorder="1" applyAlignment="1">
      <alignment vertical="center"/>
    </xf>
    <xf numFmtId="0" fontId="105" fillId="0" borderId="1" xfId="22" applyFont="1" applyBorder="1" applyAlignment="1">
      <alignment vertical="center"/>
    </xf>
    <xf numFmtId="168" fontId="105" fillId="0" borderId="1" xfId="22" applyNumberFormat="1" applyFont="1" applyBorder="1" applyAlignment="1">
      <alignment vertical="center" wrapText="1"/>
    </xf>
    <xf numFmtId="168" fontId="6" fillId="0" borderId="1" xfId="22" applyNumberFormat="1" applyFont="1" applyBorder="1" applyAlignment="1">
      <alignment horizontal="center" vertical="center" wrapText="1"/>
    </xf>
    <xf numFmtId="2" fontId="105" fillId="0" borderId="1" xfId="22" applyNumberFormat="1" applyFont="1" applyBorder="1" applyAlignment="1">
      <alignment vertical="center"/>
    </xf>
    <xf numFmtId="169" fontId="105" fillId="0" borderId="1" xfId="22" applyNumberFormat="1" applyFont="1" applyBorder="1" applyAlignment="1">
      <alignment vertical="center"/>
    </xf>
    <xf numFmtId="0" fontId="57" fillId="0" borderId="0" xfId="0" applyFont="1" applyFill="1" applyAlignment="1">
      <alignment vertical="center"/>
    </xf>
    <xf numFmtId="2" fontId="6" fillId="0" borderId="1" xfId="22" applyNumberFormat="1" applyFont="1" applyFill="1" applyBorder="1" applyAlignment="1">
      <alignment horizontal="center" vertical="center"/>
    </xf>
    <xf numFmtId="2" fontId="6" fillId="0" borderId="1" xfId="22" applyNumberFormat="1" applyFont="1" applyFill="1" applyBorder="1" applyAlignment="1">
      <alignment horizontal="center" vertical="center"/>
    </xf>
    <xf numFmtId="0" fontId="6" fillId="24" borderId="1" xfId="22" applyFont="1" applyFill="1" applyBorder="1" applyAlignment="1">
      <alignment vertical="center"/>
    </xf>
    <xf numFmtId="2" fontId="105" fillId="24" borderId="1" xfId="22" applyNumberFormat="1" applyFont="1" applyFill="1" applyBorder="1" applyAlignment="1">
      <alignment vertical="center"/>
    </xf>
    <xf numFmtId="168" fontId="105" fillId="0" borderId="6" xfId="22" applyNumberFormat="1" applyFont="1" applyBorder="1" applyAlignment="1">
      <alignment vertical="center" wrapText="1"/>
    </xf>
    <xf numFmtId="0" fontId="6" fillId="42" borderId="1" xfId="22" applyFont="1" applyFill="1" applyBorder="1" applyAlignment="1">
      <alignment vertical="center"/>
    </xf>
    <xf numFmtId="2" fontId="6" fillId="42" borderId="1" xfId="22" applyNumberFormat="1" applyFont="1" applyFill="1" applyBorder="1" applyAlignment="1">
      <alignment horizontal="center" vertical="center"/>
    </xf>
    <xf numFmtId="2" fontId="6" fillId="42" borderId="1" xfId="22" applyNumberFormat="1" applyFont="1" applyFill="1" applyBorder="1" applyAlignment="1">
      <alignment horizontal="center" vertical="center"/>
    </xf>
    <xf numFmtId="2" fontId="6" fillId="24" borderId="1" xfId="22" applyNumberFormat="1" applyFont="1" applyFill="1" applyBorder="1" applyAlignment="1">
      <alignment horizontal="center" vertical="center"/>
    </xf>
    <xf numFmtId="168" fontId="6" fillId="0" borderId="1" xfId="22" applyNumberFormat="1" applyFont="1" applyBorder="1" applyAlignment="1">
      <alignment vertical="center" wrapText="1"/>
    </xf>
    <xf numFmtId="168" fontId="105" fillId="0" borderId="16" xfId="22" applyNumberFormat="1" applyFont="1" applyBorder="1" applyAlignment="1">
      <alignment vertical="center" wrapText="1"/>
    </xf>
    <xf numFmtId="168" fontId="105" fillId="0" borderId="18" xfId="22" applyNumberFormat="1" applyFont="1" applyBorder="1" applyAlignment="1">
      <alignment vertical="center" wrapText="1"/>
    </xf>
    <xf numFmtId="2" fontId="6" fillId="24" borderId="1" xfId="22" applyNumberFormat="1" applyFont="1" applyFill="1" applyBorder="1" applyAlignment="1">
      <alignment horizontal="center" vertical="center"/>
    </xf>
    <xf numFmtId="168" fontId="105" fillId="0" borderId="1" xfId="22" applyNumberFormat="1" applyFont="1" applyBorder="1" applyAlignment="1">
      <alignment vertical="center"/>
    </xf>
    <xf numFmtId="168" fontId="105" fillId="0" borderId="1" xfId="22" applyNumberFormat="1" applyFont="1" applyBorder="1" applyAlignment="1">
      <alignment horizontal="left" vertical="center" wrapText="1"/>
    </xf>
    <xf numFmtId="2" fontId="6" fillId="24" borderId="2" xfId="22" applyNumberFormat="1" applyFont="1" applyFill="1" applyBorder="1" applyAlignment="1">
      <alignment horizontal="center" vertical="center"/>
    </xf>
    <xf numFmtId="0" fontId="57" fillId="0" borderId="0" xfId="0" applyFont="1" applyAlignment="1">
      <alignment vertical="center" wrapText="1"/>
    </xf>
    <xf numFmtId="2" fontId="105" fillId="42" borderId="1" xfId="22" applyNumberFormat="1" applyFont="1" applyFill="1" applyBorder="1" applyAlignment="1">
      <alignment vertical="center"/>
    </xf>
    <xf numFmtId="2" fontId="105" fillId="42" borderId="1" xfId="22" applyNumberFormat="1" applyFont="1" applyFill="1" applyBorder="1" applyAlignment="1">
      <alignment horizontal="center" vertical="center"/>
    </xf>
    <xf numFmtId="2" fontId="105" fillId="0" borderId="1" xfId="22" applyNumberFormat="1" applyFont="1" applyBorder="1" applyAlignment="1">
      <alignment horizontal="center" vertical="center"/>
    </xf>
    <xf numFmtId="188" fontId="105" fillId="42" borderId="1" xfId="22" applyNumberFormat="1" applyFont="1" applyFill="1" applyBorder="1" applyAlignment="1">
      <alignment horizontal="center" vertical="center"/>
    </xf>
    <xf numFmtId="187" fontId="105" fillId="42" borderId="1" xfId="22" applyNumberFormat="1" applyFont="1" applyFill="1" applyBorder="1" applyAlignment="1">
      <alignment horizontal="center" vertical="center"/>
    </xf>
    <xf numFmtId="2" fontId="57" fillId="0" borderId="1" xfId="0" applyNumberFormat="1" applyFont="1" applyBorder="1" applyAlignment="1">
      <alignment horizontal="right" vertical="center"/>
    </xf>
    <xf numFmtId="0" fontId="66" fillId="0" borderId="6" xfId="0" applyFont="1" applyBorder="1" applyAlignment="1">
      <alignment horizontal="center" vertical="center"/>
    </xf>
    <xf numFmtId="0" fontId="66" fillId="0" borderId="16" xfId="0" applyFont="1" applyBorder="1" applyAlignment="1">
      <alignment horizontal="center" vertical="center"/>
    </xf>
    <xf numFmtId="0" fontId="66" fillId="0" borderId="18" xfId="0" applyFont="1" applyBorder="1" applyAlignment="1">
      <alignment horizontal="center" vertical="center"/>
    </xf>
    <xf numFmtId="2" fontId="57" fillId="0" borderId="0" xfId="0" applyNumberFormat="1" applyFont="1" applyAlignment="1">
      <alignment horizontal="center" vertical="center"/>
    </xf>
    <xf numFmtId="0" fontId="66" fillId="0" borderId="1" xfId="0" applyFont="1" applyBorder="1" applyAlignment="1">
      <alignment horizontal="center" vertical="center"/>
    </xf>
    <xf numFmtId="0" fontId="57" fillId="0" borderId="6" xfId="0" applyFont="1" applyBorder="1" applyAlignment="1">
      <alignment vertical="center"/>
    </xf>
    <xf numFmtId="0" fontId="66" fillId="0" borderId="16" xfId="0" applyFont="1" applyBorder="1" applyAlignment="1">
      <alignment horizontal="center" vertical="center"/>
    </xf>
    <xf numFmtId="2" fontId="66" fillId="0" borderId="1" xfId="0" applyNumberFormat="1" applyFont="1" applyBorder="1" applyAlignment="1">
      <alignment horizontal="left" vertical="center"/>
    </xf>
    <xf numFmtId="0" fontId="98" fillId="0" borderId="16" xfId="0" applyFont="1" applyBorder="1" applyAlignment="1">
      <alignment horizontal="center" vertical="center"/>
    </xf>
  </cellXfs>
  <cellStyles count="215">
    <cellStyle name="20% - アクセント 1" xfId="2"/>
    <cellStyle name="20% - アクセント 2" xfId="3"/>
    <cellStyle name="20% - アクセント 3" xfId="4"/>
    <cellStyle name="20% - アクセント 4" xfId="5"/>
    <cellStyle name="20% - アクセント 5" xfId="6"/>
    <cellStyle name="20% - アクセント 6" xfId="7"/>
    <cellStyle name="40% - アクセント 1" xfId="8"/>
    <cellStyle name="40% - アクセント 2" xfId="9"/>
    <cellStyle name="40% - アクセント 3" xfId="10"/>
    <cellStyle name="40% - アクセント 4" xfId="11"/>
    <cellStyle name="40% - アクセント 5" xfId="12"/>
    <cellStyle name="40% - アクセント 6" xfId="13"/>
    <cellStyle name="60% - アクセント 1" xfId="14"/>
    <cellStyle name="60% - アクセント 2" xfId="15"/>
    <cellStyle name="60% - アクセント 3" xfId="16"/>
    <cellStyle name="60% - アクセント 4" xfId="17"/>
    <cellStyle name="60% - アクセント 5" xfId="18"/>
    <cellStyle name="60% - アクセント 6" xfId="19"/>
    <cellStyle name="Accent1 - 20%" xfId="67"/>
    <cellStyle name="Accent1 - 40%" xfId="68"/>
    <cellStyle name="Accent1 - 60%" xfId="48"/>
    <cellStyle name="Accent2 - 20%" xfId="49"/>
    <cellStyle name="Accent2 - 40%" xfId="50"/>
    <cellStyle name="Accent2 - 60%" xfId="51"/>
    <cellStyle name="Accent3 - 20%" xfId="52"/>
    <cellStyle name="Accent3 - 40%" xfId="53"/>
    <cellStyle name="Accent3 - 60%" xfId="54"/>
    <cellStyle name="Accent4 - 20%" xfId="55"/>
    <cellStyle name="Accent4 - 40%" xfId="56"/>
    <cellStyle name="Accent4 - 60%" xfId="57"/>
    <cellStyle name="Accent5 - 20%" xfId="58"/>
    <cellStyle name="Accent5 - 40%" xfId="59"/>
    <cellStyle name="Accent5 - 60%" xfId="60"/>
    <cellStyle name="Accent6 - 20%" xfId="61"/>
    <cellStyle name="Accent6 - 40%" xfId="62"/>
    <cellStyle name="Accent6 - 60%" xfId="63"/>
    <cellStyle name="args.style" xfId="64"/>
    <cellStyle name="Calc Currency (0)" xfId="65"/>
    <cellStyle name="Comma" xfId="199" builtinId="3"/>
    <cellStyle name="Comma  - Style1" xfId="66"/>
    <cellStyle name="Comma  - Style2" xfId="69"/>
    <cellStyle name="Comma  - Style3" xfId="70"/>
    <cellStyle name="Comma  - Style4" xfId="71"/>
    <cellStyle name="Comma  - Style5" xfId="72"/>
    <cellStyle name="Comma  - Style6" xfId="73"/>
    <cellStyle name="Comma  - Style7" xfId="74"/>
    <cellStyle name="Comma  - Style8" xfId="75"/>
    <cellStyle name="Comma 10" xfId="76"/>
    <cellStyle name="Comma 11" xfId="77"/>
    <cellStyle name="Comma 12" xfId="78"/>
    <cellStyle name="Comma 13" xfId="79"/>
    <cellStyle name="Comma 14" xfId="80"/>
    <cellStyle name="Comma 15" xfId="81"/>
    <cellStyle name="Comma 16" xfId="166"/>
    <cellStyle name="Comma 17" xfId="168"/>
    <cellStyle name="Comma 18" xfId="172"/>
    <cellStyle name="Comma 19" xfId="193"/>
    <cellStyle name="Comma 2" xfId="20"/>
    <cellStyle name="Comma 2 2" xfId="82"/>
    <cellStyle name="Comma 2 3" xfId="175"/>
    <cellStyle name="Comma 2 4" xfId="186"/>
    <cellStyle name="Comma 2_New Wgl final 05.11.12" xfId="185"/>
    <cellStyle name="Comma 20" xfId="198"/>
    <cellStyle name="Comma 21" xfId="191"/>
    <cellStyle name="Comma 22" xfId="201"/>
    <cellStyle name="Comma 3" xfId="83"/>
    <cellStyle name="Comma 3 2" xfId="84"/>
    <cellStyle name="Comma 3 3" xfId="85"/>
    <cellStyle name="Comma 3 4" xfId="176"/>
    <cellStyle name="Comma 4" xfId="86"/>
    <cellStyle name="Comma 5" xfId="87"/>
    <cellStyle name="Comma 6" xfId="88"/>
    <cellStyle name="Comma 7" xfId="89"/>
    <cellStyle name="Comma 7 2" xfId="179"/>
    <cellStyle name="Comma 7 3" xfId="178"/>
    <cellStyle name="Comma 8" xfId="90"/>
    <cellStyle name="Comma 9" xfId="91"/>
    <cellStyle name="Comma_IRDA-Roads Works-12-05-10" xfId="213"/>
    <cellStyle name="Copied" xfId="92"/>
    <cellStyle name="COST1" xfId="93"/>
    <cellStyle name="Currency 2" xfId="21"/>
    <cellStyle name="Emphasis 1" xfId="94"/>
    <cellStyle name="Emphasis 2" xfId="95"/>
    <cellStyle name="Emphasis 3" xfId="96"/>
    <cellStyle name="Entered" xfId="97"/>
    <cellStyle name="Excel Built-in Comma" xfId="214"/>
    <cellStyle name="Excel Built-in Normal" xfId="177"/>
    <cellStyle name="Fixed" xfId="98"/>
    <cellStyle name="Grey" xfId="99"/>
    <cellStyle name="Header1" xfId="100"/>
    <cellStyle name="Header2" xfId="101"/>
    <cellStyle name="Hyperlink 2" xfId="102"/>
    <cellStyle name="Hyperlink 3" xfId="103"/>
    <cellStyle name="Input [yellow]" xfId="104"/>
    <cellStyle name="Input Cells" xfId="105"/>
    <cellStyle name="Linked Cells" xfId="106"/>
    <cellStyle name="MANKAD" xfId="107"/>
    <cellStyle name="Milliers [0]_!!!GO" xfId="108"/>
    <cellStyle name="Milliers_!!!GO" xfId="109"/>
    <cellStyle name="Monétaire [0]_!!!GO" xfId="110"/>
    <cellStyle name="Monétaire_!!!GO" xfId="111"/>
    <cellStyle name="no dec" xfId="112"/>
    <cellStyle name="Normal" xfId="0" builtinId="0"/>
    <cellStyle name="Normal - Style1" xfId="113"/>
    <cellStyle name="Normal - Style1 2" xfId="114"/>
    <cellStyle name="Normal - Style1 2 2" xfId="115"/>
    <cellStyle name="Normal - Style1 3" xfId="116"/>
    <cellStyle name="Normal - Style1_KADAPA ABOVE 5 LAKHS" xfId="117"/>
    <cellStyle name="Normal 10" xfId="118"/>
    <cellStyle name="Normal 11" xfId="165"/>
    <cellStyle name="Normal 12" xfId="167"/>
    <cellStyle name="Normal 12 2" xfId="203"/>
    <cellStyle name="Normal 13" xfId="187"/>
    <cellStyle name="Normal 13 2" xfId="204"/>
    <cellStyle name="Normal 14" xfId="197"/>
    <cellStyle name="Normal 14 2" xfId="207"/>
    <cellStyle name="Normal 15" xfId="196"/>
    <cellStyle name="Normal 15 2" xfId="206"/>
    <cellStyle name="Normal 16" xfId="192"/>
    <cellStyle name="Normal 16 2" xfId="205"/>
    <cellStyle name="Normal 17" xfId="200"/>
    <cellStyle name="Normal 2" xfId="22"/>
    <cellStyle name="Normal 2 10" xfId="119"/>
    <cellStyle name="Normal 2 2" xfId="120"/>
    <cellStyle name="Normal 2 2 2" xfId="121"/>
    <cellStyle name="Normal 2 2 2 2" xfId="181"/>
    <cellStyle name="Normal 2 2_69 Col Adilabad District Final 17.01.2015" xfId="122"/>
    <cellStyle name="Normal 2 3" xfId="123"/>
    <cellStyle name="Normal 2 4" xfId="124"/>
    <cellStyle name="Normal 2_69 Col Adilabad District Final 17.01.2015" xfId="125"/>
    <cellStyle name="Normal 3" xfId="1"/>
    <cellStyle name="Normal 3 2" xfId="127"/>
    <cellStyle name="Normal 3 2 2" xfId="182"/>
    <cellStyle name="Normal 3 3" xfId="128"/>
    <cellStyle name="Normal 3 3 2" xfId="129"/>
    <cellStyle name="Normal 3 4" xfId="126"/>
    <cellStyle name="Normal 3_IRDA-Roads Works-12-05-10 2" xfId="180"/>
    <cellStyle name="Normal 4" xfId="130"/>
    <cellStyle name="Normal 4 2" xfId="131"/>
    <cellStyle name="Normal 4 3" xfId="173"/>
    <cellStyle name="Normal 4 4" xfId="171"/>
    <cellStyle name="Normal 5" xfId="132"/>
    <cellStyle name="Normal 6" xfId="133"/>
    <cellStyle name="Normal 6 2" xfId="188"/>
    <cellStyle name="Normal 7" xfId="134"/>
    <cellStyle name="Normal 8" xfId="135"/>
    <cellStyle name="Normal 9" xfId="136"/>
    <cellStyle name="Normal_1-H-IRDA-Estimate-17May10" xfId="208"/>
    <cellStyle name="Normal_App road to Aerospace TS (22-10-09)" xfId="211"/>
    <cellStyle name="Normal_D A T A - 2004 - 2005 - STGH" xfId="212"/>
    <cellStyle name="Normal_detailed estimate" xfId="169"/>
    <cellStyle name="Normal_IRDA-Roads Works-12-05-10" xfId="209"/>
    <cellStyle name="Œ…‹æØ‚è [0.00]_Region Orders (2)" xfId="137"/>
    <cellStyle name="Œ…‹æØ‚è_Region Orders (2)" xfId="138"/>
    <cellStyle name="per.style" xfId="139"/>
    <cellStyle name="Percent" xfId="210" builtinId="5"/>
    <cellStyle name="Percent [2]" xfId="140"/>
    <cellStyle name="Percent 10" xfId="195"/>
    <cellStyle name="Percent 11" xfId="194"/>
    <cellStyle name="Percent 12" xfId="202"/>
    <cellStyle name="Percent 2" xfId="23"/>
    <cellStyle name="Percent 2 2" xfId="141"/>
    <cellStyle name="Percent 2 3" xfId="142"/>
    <cellStyle name="Percent 2 4" xfId="184"/>
    <cellStyle name="Percent 3" xfId="143"/>
    <cellStyle name="Percent 4" xfId="144"/>
    <cellStyle name="Percent 4 2" xfId="145"/>
    <cellStyle name="Percent 5" xfId="146"/>
    <cellStyle name="Percent 6" xfId="147"/>
    <cellStyle name="Percent 7" xfId="170"/>
    <cellStyle name="Percent 8" xfId="190"/>
    <cellStyle name="Percent 9" xfId="189"/>
    <cellStyle name="pricing" xfId="148"/>
    <cellStyle name="PSChar" xfId="149"/>
    <cellStyle name="RevList" xfId="150"/>
    <cellStyle name="Sheet Title" xfId="151"/>
    <cellStyle name="style" xfId="152"/>
    <cellStyle name="Style 1" xfId="24"/>
    <cellStyle name="Style 1 2" xfId="174"/>
    <cellStyle name="Style 1 2 2" xfId="183"/>
    <cellStyle name="style1" xfId="153"/>
    <cellStyle name="style2" xfId="154"/>
    <cellStyle name="Subtotal" xfId="155"/>
    <cellStyle name="text" xfId="156"/>
    <cellStyle name="þ_x001d_ð &amp;ý&amp;†ýG_x0008_ X&#10;_x0007__x0001__x0001_" xfId="157"/>
    <cellStyle name="þ_x001d_ð&quot;_x000c_Býò_x000c_5ýU_x0001_e_x0005_¹,_x0007__x0001__x0001_" xfId="158"/>
    <cellStyle name="Times New Roman" xfId="159"/>
    <cellStyle name="Tusental (0)_pldt" xfId="160"/>
    <cellStyle name="Tusental_pldt" xfId="161"/>
    <cellStyle name="Value" xfId="162"/>
    <cellStyle name="Valuta (0)_pldt" xfId="163"/>
    <cellStyle name="Valuta_pldt" xfId="164"/>
    <cellStyle name="アクセント 1" xfId="25"/>
    <cellStyle name="アクセント 2" xfId="26"/>
    <cellStyle name="アクセント 3" xfId="27"/>
    <cellStyle name="アクセント 4" xfId="28"/>
    <cellStyle name="アクセント 5" xfId="29"/>
    <cellStyle name="アクセント 6" xfId="30"/>
    <cellStyle name="タイトル" xfId="31"/>
    <cellStyle name="チェック セル" xfId="32"/>
    <cellStyle name="どちらでもない" xfId="33"/>
    <cellStyle name="メモ" xfId="34"/>
    <cellStyle name="リンク セル" xfId="35"/>
    <cellStyle name="入力" xfId="36"/>
    <cellStyle name="出力" xfId="37"/>
    <cellStyle name="悪い" xfId="38"/>
    <cellStyle name="良い" xfId="39"/>
    <cellStyle name="見出し 1" xfId="40"/>
    <cellStyle name="見出し 2" xfId="41"/>
    <cellStyle name="見出し 3" xfId="42"/>
    <cellStyle name="見出し 4" xfId="43"/>
    <cellStyle name="計算" xfId="44"/>
    <cellStyle name="説明文" xfId="45"/>
    <cellStyle name="警告文" xfId="46"/>
    <cellStyle name="集計" xfId="47"/>
  </cellStyles>
  <dxfs count="1">
    <dxf>
      <fill>
        <patternFill patternType="solid">
          <fgColor auto="1"/>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ekhar%20Dept%2014.07.20/Final%20TS-OHT&amp;SUMP-Maheswaram%20(051.02.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OQ-Maheshwaram(09.02.19)%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 val="Sheet1"/>
      <sheetName val="spefcn "/>
      <sheetName val="NH&amp;Bhagheeratha ABS"/>
      <sheetName val="GEN-abs"/>
      <sheetName val="FINAL OHT abs "/>
      <sheetName val="M-30(OHT)"/>
      <sheetName val="FINAL OHT det"/>
      <sheetName val="Seignio"/>
      <sheetName val="Sheet3"/>
      <sheetName val="Slu.Air"/>
      <sheetName val="Sheet4"/>
      <sheetName val="FINAL SUMP abs"/>
      <sheetName val="Srg"/>
      <sheetName val="FINAL DATA SUMP "/>
      <sheetName val="FINAL SUMP det"/>
      <sheetName val="pum.main fm Sump-OHT-ABS"/>
      <sheetName val="pum.main fm Sump-OHT-Det"/>
      <sheetName val="FINAL -Abst-Dist"/>
      <sheetName val="FINAL -Det-Dist"/>
      <sheetName val="FINAL -PR- Abst"/>
      <sheetName val="Sheet6"/>
      <sheetName val="FINAL - PRoomDet"/>
      <sheetName val="initial cost"/>
      <sheetName val="lead"/>
      <sheetName val="Data- ds"/>
      <sheetName val="HDPE "/>
      <sheetName val="Sv- DAV data"/>
      <sheetName val="LW CI, Jg data"/>
      <sheetName val="DI Pipes-Jg &amp; Special - data"/>
      <sheetName val="Inital rat"/>
      <sheetName val="V &amp;Pipe"/>
      <sheetName val="V pits data1"/>
      <sheetName val="Conveyance-17-18"/>
    </sheetNames>
    <sheetDataSet>
      <sheetData sheetId="0"/>
      <sheetData sheetId="1"/>
      <sheetData sheetId="2"/>
      <sheetData sheetId="3"/>
      <sheetData sheetId="4"/>
      <sheetData sheetId="5">
        <row r="7">
          <cell r="B7" t="str">
            <v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including centering &amp; shuttering using steel scaffolding pipes, jack props, wallers, foot plates, brackets, steel centering plates weigh batcher etc machine mixing, laying concrete, vibrating, finishing smooth to required levels, curing, pumping to work spot, lifting of material with  mechanical equipment like winch, etc., all other incidental and operational charges, all labour charges, etc.,  but excluding cost of steel and its fabrication charges etc., complete as directed by Engineer-in-Charge for the following finished items of work,  excluding GST &amp; seigniorage charges.  </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9">
          <cell r="I9">
            <v>4300</v>
          </cell>
        </row>
        <row r="13">
          <cell r="I13">
            <v>2227.2599999999998</v>
          </cell>
        </row>
        <row r="14">
          <cell r="I14">
            <v>937.69839999999999</v>
          </cell>
        </row>
      </sheetData>
      <sheetData sheetId="25">
        <row r="426">
          <cell r="G426">
            <v>1439.9484</v>
          </cell>
        </row>
      </sheetData>
      <sheetData sheetId="26"/>
      <sheetData sheetId="27"/>
      <sheetData sheetId="28"/>
      <sheetData sheetId="29"/>
      <sheetData sheetId="30"/>
      <sheetData sheetId="31"/>
      <sheetData sheetId="32"/>
      <sheetData sheetId="3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OQ"/>
      <sheetName val="Sheet1"/>
    </sheetNames>
    <sheetDataSet>
      <sheetData sheetId="0">
        <row r="7">
          <cell r="G7">
            <v>101.04</v>
          </cell>
        </row>
        <row r="103">
          <cell r="G103">
            <v>652.20000000000005</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N288"/>
  <sheetViews>
    <sheetView topLeftCell="A236" workbookViewId="0">
      <selection activeCell="J233" sqref="J233"/>
    </sheetView>
  </sheetViews>
  <sheetFormatPr defaultRowHeight="15"/>
  <cols>
    <col min="2" max="2" width="52.42578125" customWidth="1"/>
    <col min="4" max="4" width="11.85546875" customWidth="1"/>
    <col min="5" max="5" width="13.28515625" customWidth="1"/>
    <col min="6" max="6" width="13.42578125" customWidth="1"/>
    <col min="7" max="7" width="13.140625" customWidth="1"/>
    <col min="8" max="8" width="10.28515625" customWidth="1"/>
    <col min="10" max="10" width="11.5703125" customWidth="1"/>
    <col min="11" max="11" width="15" customWidth="1"/>
    <col min="12" max="12" width="16" customWidth="1"/>
    <col min="13" max="13" width="12" customWidth="1"/>
  </cols>
  <sheetData>
    <row r="1" spans="1:11">
      <c r="A1" s="285" t="s">
        <v>8</v>
      </c>
      <c r="B1" s="285"/>
      <c r="C1" s="285"/>
      <c r="D1" s="285"/>
      <c r="E1" s="285"/>
      <c r="F1" s="285"/>
      <c r="G1" s="285"/>
      <c r="H1" s="285"/>
      <c r="I1" s="285"/>
      <c r="J1" s="285"/>
      <c r="K1" s="285"/>
    </row>
    <row r="2" spans="1:11" ht="26.25">
      <c r="A2" s="286" t="s">
        <v>416</v>
      </c>
      <c r="B2" s="286"/>
      <c r="C2" s="286"/>
      <c r="D2" s="286"/>
      <c r="E2" s="286"/>
      <c r="F2" s="286"/>
      <c r="G2" s="286"/>
      <c r="H2" s="63"/>
      <c r="I2" s="63"/>
      <c r="J2" s="63"/>
      <c r="K2" s="63"/>
    </row>
    <row r="3" spans="1:11" ht="18.75">
      <c r="A3" s="43" t="s">
        <v>0</v>
      </c>
      <c r="B3" s="43" t="s">
        <v>417</v>
      </c>
      <c r="C3" s="43" t="s">
        <v>28</v>
      </c>
      <c r="D3" s="43" t="s">
        <v>3</v>
      </c>
      <c r="E3" s="43" t="s">
        <v>4</v>
      </c>
      <c r="F3" s="43" t="s">
        <v>418</v>
      </c>
      <c r="G3" s="43" t="s">
        <v>238</v>
      </c>
      <c r="H3" s="63"/>
      <c r="I3" s="63"/>
      <c r="J3" s="63"/>
      <c r="K3" s="63"/>
    </row>
    <row r="4" spans="1:11" ht="18.75">
      <c r="A4" s="44"/>
      <c r="B4" s="8" t="s">
        <v>419</v>
      </c>
      <c r="C4" s="44"/>
      <c r="D4" s="44"/>
      <c r="E4" s="44"/>
      <c r="F4" s="44"/>
      <c r="G4" s="44"/>
      <c r="H4" s="63"/>
      <c r="I4" s="63"/>
      <c r="J4" s="63"/>
      <c r="K4" s="63"/>
    </row>
    <row r="5" spans="1:11" ht="15.75">
      <c r="A5" s="44">
        <v>1</v>
      </c>
      <c r="B5" s="56" t="s">
        <v>420</v>
      </c>
      <c r="C5" s="64" t="s">
        <v>421</v>
      </c>
      <c r="D5" s="38">
        <f>G5</f>
        <v>8.7580357142857146</v>
      </c>
      <c r="E5" s="38">
        <v>1.4</v>
      </c>
      <c r="F5" s="38">
        <f>E5*D5*2*3.14</f>
        <v>77.000650000000007</v>
      </c>
      <c r="G5" s="64">
        <f>((4.75)^2+(1.4)^2)/(2*1.4)</f>
        <v>8.7580357142857146</v>
      </c>
      <c r="H5" s="63"/>
      <c r="I5" s="63"/>
      <c r="J5" s="63"/>
      <c r="K5" s="63"/>
    </row>
    <row r="6" spans="1:11">
      <c r="A6" s="44">
        <v>2</v>
      </c>
      <c r="B6" s="44" t="s">
        <v>422</v>
      </c>
      <c r="C6" s="64" t="s">
        <v>423</v>
      </c>
      <c r="D6" s="38">
        <v>12.1</v>
      </c>
      <c r="E6" s="38">
        <v>2</v>
      </c>
      <c r="F6" s="64">
        <f>E6*D6*3.14</f>
        <v>75.988</v>
      </c>
      <c r="G6" s="44"/>
      <c r="H6" s="63"/>
      <c r="I6" s="63"/>
      <c r="J6" s="63"/>
      <c r="K6" s="63"/>
    </row>
    <row r="7" spans="1:11">
      <c r="A7" s="44">
        <v>7</v>
      </c>
      <c r="B7" s="44" t="s">
        <v>424</v>
      </c>
      <c r="C7" s="64" t="s">
        <v>423</v>
      </c>
      <c r="D7" s="38">
        <v>10</v>
      </c>
      <c r="E7" s="64">
        <f>0.3+0.3+0.3</f>
        <v>0.89999999999999991</v>
      </c>
      <c r="F7" s="38">
        <f t="shared" ref="F7" si="0">E7*D7*3.14</f>
        <v>28.26</v>
      </c>
      <c r="G7" s="44"/>
      <c r="H7" s="63"/>
      <c r="I7" s="63"/>
      <c r="J7" s="63"/>
      <c r="K7" s="63"/>
    </row>
    <row r="8" spans="1:11">
      <c r="A8" s="44">
        <v>10</v>
      </c>
      <c r="B8" s="44" t="s">
        <v>426</v>
      </c>
      <c r="C8" s="64" t="s">
        <v>423</v>
      </c>
      <c r="D8" s="38">
        <v>14.5</v>
      </c>
      <c r="E8" s="38">
        <v>0.12</v>
      </c>
      <c r="F8" s="38">
        <f>E8*D8*3.14</f>
        <v>5.4636000000000005</v>
      </c>
      <c r="G8" s="44"/>
      <c r="H8" s="63"/>
      <c r="I8" s="63"/>
      <c r="J8" s="63"/>
      <c r="K8" s="63"/>
    </row>
    <row r="9" spans="1:11" ht="21">
      <c r="A9" s="44"/>
      <c r="B9" s="44"/>
      <c r="C9" s="44"/>
      <c r="D9" s="44"/>
      <c r="E9" s="44"/>
      <c r="F9" s="74">
        <f>SUM(F5:F8)</f>
        <v>186.71225000000001</v>
      </c>
      <c r="G9" s="75" t="s">
        <v>56</v>
      </c>
      <c r="H9" s="63"/>
      <c r="I9" s="63"/>
      <c r="J9" s="63"/>
      <c r="K9" s="63"/>
    </row>
    <row r="10" spans="1:11">
      <c r="A10" s="63"/>
      <c r="B10" s="63"/>
      <c r="C10" s="63"/>
      <c r="D10" s="63"/>
      <c r="E10" s="63"/>
      <c r="F10" s="63"/>
      <c r="G10" s="63"/>
      <c r="H10" s="63"/>
      <c r="I10" s="63"/>
      <c r="J10" s="63"/>
      <c r="K10" s="63"/>
    </row>
    <row r="11" spans="1:11" ht="26.25">
      <c r="A11" s="286" t="s">
        <v>427</v>
      </c>
      <c r="B11" s="286"/>
      <c r="C11" s="286"/>
      <c r="D11" s="286"/>
      <c r="E11" s="286"/>
      <c r="F11" s="286"/>
      <c r="G11" s="286"/>
      <c r="H11" s="286"/>
      <c r="I11" s="286"/>
      <c r="J11" s="286"/>
      <c r="K11" s="63"/>
    </row>
    <row r="12" spans="1:11" ht="45">
      <c r="A12" s="61" t="s">
        <v>0</v>
      </c>
      <c r="B12" s="61" t="s">
        <v>417</v>
      </c>
      <c r="C12" s="61" t="s">
        <v>428</v>
      </c>
      <c r="D12" s="61" t="s">
        <v>429</v>
      </c>
      <c r="E12" s="61" t="s">
        <v>430</v>
      </c>
      <c r="F12" s="61" t="s">
        <v>431</v>
      </c>
      <c r="G12" s="61" t="s">
        <v>432</v>
      </c>
      <c r="H12" s="61" t="s">
        <v>433</v>
      </c>
      <c r="I12" s="61" t="s">
        <v>434</v>
      </c>
      <c r="J12" s="61" t="s">
        <v>238</v>
      </c>
      <c r="K12" s="63"/>
    </row>
    <row r="13" spans="1:11" ht="15.75">
      <c r="A13" s="64" t="s">
        <v>14</v>
      </c>
      <c r="B13" s="65" t="s">
        <v>435</v>
      </c>
      <c r="C13" s="44"/>
      <c r="D13" s="44"/>
      <c r="E13" s="44"/>
      <c r="F13" s="44"/>
      <c r="G13" s="44"/>
      <c r="H13" s="44"/>
      <c r="I13" s="44"/>
      <c r="J13" s="44"/>
      <c r="K13" s="63"/>
    </row>
    <row r="14" spans="1:11">
      <c r="A14" s="44"/>
      <c r="B14" s="44" t="s">
        <v>436</v>
      </c>
      <c r="C14" s="64" t="s">
        <v>437</v>
      </c>
      <c r="D14" s="38">
        <f>3.14*9.8</f>
        <v>30.772000000000002</v>
      </c>
      <c r="E14" s="38" t="s">
        <v>39</v>
      </c>
      <c r="F14" s="38">
        <v>8</v>
      </c>
      <c r="G14" s="38">
        <f t="shared" ref="G14:G19" si="1">ROUND((F14*D14),2)</f>
        <v>246.18</v>
      </c>
      <c r="H14" s="76">
        <v>1.58</v>
      </c>
      <c r="I14" s="38">
        <f>ROUND((H14*G14),2)</f>
        <v>388.96</v>
      </c>
      <c r="J14" s="44"/>
      <c r="K14" s="63"/>
    </row>
    <row r="15" spans="1:11">
      <c r="A15" s="44"/>
      <c r="B15" s="44" t="s">
        <v>438</v>
      </c>
      <c r="C15" s="64" t="s">
        <v>437</v>
      </c>
      <c r="D15" s="38">
        <f>2.5</f>
        <v>2.5</v>
      </c>
      <c r="E15" s="38" t="s">
        <v>439</v>
      </c>
      <c r="F15" s="38">
        <f>2*6</f>
        <v>12</v>
      </c>
      <c r="G15" s="38">
        <f t="shared" si="1"/>
        <v>30</v>
      </c>
      <c r="H15" s="76">
        <v>1.58</v>
      </c>
      <c r="I15" s="38">
        <f>ROUND((H15*G15),2)</f>
        <v>47.4</v>
      </c>
      <c r="J15" s="44"/>
      <c r="K15" s="63"/>
    </row>
    <row r="16" spans="1:11">
      <c r="A16" s="44"/>
      <c r="B16" s="44" t="s">
        <v>440</v>
      </c>
      <c r="C16" s="64" t="s">
        <v>441</v>
      </c>
      <c r="D16" s="38">
        <f>5-1.5</f>
        <v>3.5</v>
      </c>
      <c r="E16" s="38" t="s">
        <v>439</v>
      </c>
      <c r="F16" s="38">
        <f>6*2</f>
        <v>12</v>
      </c>
      <c r="G16" s="38">
        <f t="shared" si="1"/>
        <v>42</v>
      </c>
      <c r="H16" s="76">
        <v>0.88800000000000001</v>
      </c>
      <c r="I16" s="38">
        <f t="shared" ref="I16:I32" si="2">ROUND((H16*G16),2)</f>
        <v>37.299999999999997</v>
      </c>
      <c r="J16" s="44"/>
      <c r="K16" s="63"/>
    </row>
    <row r="17" spans="1:11">
      <c r="A17" s="44"/>
      <c r="B17" s="44" t="s">
        <v>442</v>
      </c>
      <c r="C17" s="64" t="s">
        <v>441</v>
      </c>
      <c r="D17" s="38">
        <f>3.14*10</f>
        <v>31.400000000000002</v>
      </c>
      <c r="E17" s="38" t="s">
        <v>29</v>
      </c>
      <c r="F17" s="38">
        <v>3</v>
      </c>
      <c r="G17" s="38">
        <f t="shared" si="1"/>
        <v>94.2</v>
      </c>
      <c r="H17" s="76">
        <v>0.88800000000000001</v>
      </c>
      <c r="I17" s="38">
        <f t="shared" si="2"/>
        <v>83.65</v>
      </c>
      <c r="J17" s="44"/>
      <c r="K17" s="63"/>
    </row>
    <row r="18" spans="1:11">
      <c r="A18" s="44"/>
      <c r="B18" s="44" t="s">
        <v>443</v>
      </c>
      <c r="C18" s="64" t="s">
        <v>441</v>
      </c>
      <c r="D18" s="38">
        <f>3.14*9.6</f>
        <v>30.143999999999998</v>
      </c>
      <c r="E18" s="38" t="s">
        <v>29</v>
      </c>
      <c r="F18" s="38">
        <v>3</v>
      </c>
      <c r="G18" s="38">
        <f t="shared" si="1"/>
        <v>90.43</v>
      </c>
      <c r="H18" s="76">
        <v>0.88800000000000001</v>
      </c>
      <c r="I18" s="38">
        <f t="shared" si="2"/>
        <v>80.3</v>
      </c>
      <c r="J18" s="44"/>
      <c r="K18" s="63"/>
    </row>
    <row r="19" spans="1:11">
      <c r="A19" s="44"/>
      <c r="B19" s="44" t="s">
        <v>444</v>
      </c>
      <c r="C19" s="64" t="s">
        <v>445</v>
      </c>
      <c r="D19" s="38">
        <f>0.24+0.36+0.24+0.36+0.1</f>
        <v>1.3</v>
      </c>
      <c r="E19" s="64" t="s">
        <v>446</v>
      </c>
      <c r="F19" s="38">
        <f>180</f>
        <v>180</v>
      </c>
      <c r="G19" s="38">
        <f t="shared" si="1"/>
        <v>234</v>
      </c>
      <c r="H19" s="76">
        <v>0.39500000000000002</v>
      </c>
      <c r="I19" s="38">
        <f t="shared" si="2"/>
        <v>92.43</v>
      </c>
      <c r="J19" s="44"/>
      <c r="K19" s="63"/>
    </row>
    <row r="20" spans="1:11" ht="15.75">
      <c r="A20" s="63" t="s">
        <v>4</v>
      </c>
      <c r="B20" s="65" t="s">
        <v>447</v>
      </c>
      <c r="C20" s="44"/>
      <c r="D20" s="44"/>
      <c r="E20" s="44"/>
      <c r="F20" s="44"/>
      <c r="G20" s="44"/>
      <c r="H20" s="44"/>
      <c r="I20" s="44"/>
      <c r="J20" s="44"/>
      <c r="K20" s="63"/>
    </row>
    <row r="21" spans="1:11">
      <c r="A21" s="44"/>
      <c r="B21" s="44" t="s">
        <v>448</v>
      </c>
      <c r="C21" s="64" t="s">
        <v>445</v>
      </c>
      <c r="D21" s="38">
        <f>2.4+0.3+0.3</f>
        <v>2.9999999999999996</v>
      </c>
      <c r="E21" s="38" t="s">
        <v>449</v>
      </c>
      <c r="F21" s="38">
        <v>252</v>
      </c>
      <c r="G21" s="38">
        <f>ROUND((F21*D21),2)</f>
        <v>756</v>
      </c>
      <c r="H21" s="76">
        <v>0.39500000000000002</v>
      </c>
      <c r="I21" s="38">
        <f t="shared" si="2"/>
        <v>298.62</v>
      </c>
      <c r="J21" s="44"/>
      <c r="K21" s="63"/>
    </row>
    <row r="22" spans="1:11">
      <c r="A22" s="44"/>
      <c r="B22" s="44" t="s">
        <v>450</v>
      </c>
      <c r="C22" s="64" t="s">
        <v>445</v>
      </c>
      <c r="D22" s="38">
        <f>3.14*12.1</f>
        <v>37.994</v>
      </c>
      <c r="E22" s="64" t="s">
        <v>43</v>
      </c>
      <c r="F22" s="40">
        <v>12</v>
      </c>
      <c r="G22" s="40">
        <f>ROUND((F22*D22),2)</f>
        <v>455.93</v>
      </c>
      <c r="H22" s="76">
        <v>0.39500000000000002</v>
      </c>
      <c r="I22" s="38">
        <f t="shared" si="2"/>
        <v>180.09</v>
      </c>
      <c r="J22" s="44"/>
      <c r="K22" s="63"/>
    </row>
    <row r="23" spans="1:11">
      <c r="A23" s="44"/>
      <c r="B23" s="41" t="s">
        <v>451</v>
      </c>
      <c r="C23" s="77" t="s">
        <v>445</v>
      </c>
      <c r="D23" s="38">
        <f>2.4+0.3+0.3</f>
        <v>2.9999999999999996</v>
      </c>
      <c r="E23" s="38" t="s">
        <v>449</v>
      </c>
      <c r="F23" s="38">
        <v>252</v>
      </c>
      <c r="G23" s="38">
        <f>ROUND((F23*D23),2)</f>
        <v>756</v>
      </c>
      <c r="H23" s="76">
        <v>0.39500000000000002</v>
      </c>
      <c r="I23" s="38">
        <f t="shared" si="2"/>
        <v>298.62</v>
      </c>
      <c r="J23" s="44"/>
      <c r="K23" s="63"/>
    </row>
    <row r="24" spans="1:11">
      <c r="A24" s="44"/>
      <c r="B24" s="41" t="s">
        <v>452</v>
      </c>
      <c r="C24" s="64" t="s">
        <v>445</v>
      </c>
      <c r="D24" s="38">
        <f>3.14*12.1</f>
        <v>37.994</v>
      </c>
      <c r="E24" s="64" t="s">
        <v>43</v>
      </c>
      <c r="F24" s="40">
        <v>12</v>
      </c>
      <c r="G24" s="40">
        <f>ROUND((F24*D24),2)</f>
        <v>455.93</v>
      </c>
      <c r="H24" s="76">
        <v>0.39500000000000002</v>
      </c>
      <c r="I24" s="38">
        <f t="shared" si="2"/>
        <v>180.09</v>
      </c>
      <c r="J24" s="44"/>
      <c r="K24" s="63"/>
    </row>
    <row r="25" spans="1:11" ht="15.75">
      <c r="A25" s="78" t="s">
        <v>215</v>
      </c>
      <c r="B25" s="65" t="s">
        <v>453</v>
      </c>
      <c r="C25" s="44"/>
      <c r="D25" s="44"/>
      <c r="E25" s="44"/>
      <c r="F25" s="44"/>
      <c r="G25" s="44"/>
      <c r="H25" s="44"/>
      <c r="I25" s="44"/>
      <c r="J25" s="44"/>
      <c r="K25" s="63"/>
    </row>
    <row r="26" spans="1:11">
      <c r="A26" s="44"/>
      <c r="B26" s="44" t="s">
        <v>454</v>
      </c>
      <c r="C26" s="64" t="s">
        <v>445</v>
      </c>
      <c r="D26" s="38">
        <f>4.9+0.4</f>
        <v>5.3000000000000007</v>
      </c>
      <c r="E26" s="38" t="s">
        <v>455</v>
      </c>
      <c r="F26" s="38">
        <v>102</v>
      </c>
      <c r="G26" s="40">
        <f t="shared" ref="G26:G32" si="3">ROUND((F26*D26),2)</f>
        <v>540.6</v>
      </c>
      <c r="H26" s="76">
        <f>0.395</f>
        <v>0.39500000000000002</v>
      </c>
      <c r="I26" s="38">
        <f>ROUND((H26*G26),2)</f>
        <v>213.54</v>
      </c>
      <c r="J26" s="44"/>
      <c r="K26" s="63"/>
    </row>
    <row r="27" spans="1:11">
      <c r="A27" s="44"/>
      <c r="B27" s="44" t="s">
        <v>454</v>
      </c>
      <c r="C27" s="64" t="s">
        <v>445</v>
      </c>
      <c r="D27" s="38">
        <f>3.2+0.3</f>
        <v>3.5</v>
      </c>
      <c r="E27" s="38" t="s">
        <v>455</v>
      </c>
      <c r="F27" s="38">
        <v>102</v>
      </c>
      <c r="G27" s="40">
        <f t="shared" si="3"/>
        <v>357</v>
      </c>
      <c r="H27" s="76">
        <v>0.39500000000000002</v>
      </c>
      <c r="I27" s="38">
        <f>ROUND((H27*G27),2)</f>
        <v>141.02000000000001</v>
      </c>
      <c r="J27" s="44"/>
      <c r="K27" s="63"/>
    </row>
    <row r="28" spans="1:11">
      <c r="A28" s="44"/>
      <c r="B28" s="44" t="s">
        <v>456</v>
      </c>
      <c r="C28" s="64" t="s">
        <v>445</v>
      </c>
      <c r="D28" s="38">
        <f>3.14*5</f>
        <v>15.700000000000001</v>
      </c>
      <c r="E28" s="38" t="s">
        <v>457</v>
      </c>
      <c r="F28" s="38">
        <v>33</v>
      </c>
      <c r="G28" s="38">
        <f t="shared" si="3"/>
        <v>518.1</v>
      </c>
      <c r="H28" s="76">
        <v>0.39500000000000002</v>
      </c>
      <c r="I28" s="38">
        <f t="shared" si="2"/>
        <v>204.65</v>
      </c>
      <c r="J28" s="44"/>
      <c r="K28" s="63"/>
    </row>
    <row r="29" spans="1:11">
      <c r="A29" s="44"/>
      <c r="B29" s="44" t="s">
        <v>458</v>
      </c>
      <c r="C29" s="64" t="s">
        <v>445</v>
      </c>
      <c r="D29" s="38">
        <f>1.5+0.4</f>
        <v>1.9</v>
      </c>
      <c r="E29" s="38" t="s">
        <v>459</v>
      </c>
      <c r="F29" s="38">
        <v>240</v>
      </c>
      <c r="G29" s="38">
        <f t="shared" si="3"/>
        <v>456</v>
      </c>
      <c r="H29" s="76">
        <v>0.39500000000000002</v>
      </c>
      <c r="I29" s="38">
        <f>ROUND((H29*G29),2)</f>
        <v>180.12</v>
      </c>
      <c r="J29" s="44"/>
      <c r="K29" s="63"/>
    </row>
    <row r="30" spans="1:11">
      <c r="A30" s="44"/>
      <c r="B30" s="44" t="s">
        <v>460</v>
      </c>
      <c r="C30" s="64" t="s">
        <v>445</v>
      </c>
      <c r="D30" s="64">
        <f>3.14*8.5</f>
        <v>26.69</v>
      </c>
      <c r="E30" s="64" t="s">
        <v>461</v>
      </c>
      <c r="F30" s="38">
        <v>10</v>
      </c>
      <c r="G30" s="64">
        <f t="shared" si="3"/>
        <v>266.89999999999998</v>
      </c>
      <c r="H30" s="76">
        <f>0.395</f>
        <v>0.39500000000000002</v>
      </c>
      <c r="I30" s="38">
        <f t="shared" si="2"/>
        <v>105.43</v>
      </c>
      <c r="J30" s="44"/>
      <c r="K30" s="63"/>
    </row>
    <row r="31" spans="1:11">
      <c r="A31" s="44"/>
      <c r="B31" s="44" t="s">
        <v>462</v>
      </c>
      <c r="C31" s="64" t="s">
        <v>463</v>
      </c>
      <c r="D31" s="38">
        <v>1.5</v>
      </c>
      <c r="E31" s="64" t="s">
        <v>464</v>
      </c>
      <c r="F31" s="38">
        <v>100</v>
      </c>
      <c r="G31" s="38">
        <f t="shared" si="3"/>
        <v>150</v>
      </c>
      <c r="H31" s="76">
        <v>0.61699999999999999</v>
      </c>
      <c r="I31" s="38">
        <f t="shared" si="2"/>
        <v>92.55</v>
      </c>
      <c r="J31" s="44"/>
      <c r="K31" s="63"/>
    </row>
    <row r="32" spans="1:11">
      <c r="A32" s="44"/>
      <c r="B32" s="44" t="s">
        <v>465</v>
      </c>
      <c r="C32" s="64" t="s">
        <v>463</v>
      </c>
      <c r="D32" s="38">
        <v>1.5</v>
      </c>
      <c r="E32" s="64" t="s">
        <v>17</v>
      </c>
      <c r="F32" s="38">
        <v>12</v>
      </c>
      <c r="G32" s="79">
        <f t="shared" si="3"/>
        <v>18</v>
      </c>
      <c r="H32" s="76">
        <v>0.61699999999999999</v>
      </c>
      <c r="I32" s="38">
        <f t="shared" si="2"/>
        <v>11.11</v>
      </c>
      <c r="J32" s="44"/>
      <c r="K32" s="63"/>
    </row>
    <row r="33" spans="1:14">
      <c r="A33" s="44"/>
      <c r="B33" s="71" t="s">
        <v>466</v>
      </c>
      <c r="C33" s="64"/>
      <c r="D33" s="38"/>
      <c r="E33" s="64"/>
      <c r="F33" s="38"/>
      <c r="G33" s="79"/>
      <c r="H33" s="76"/>
      <c r="I33" s="38"/>
      <c r="J33" s="44"/>
      <c r="K33" s="63"/>
    </row>
    <row r="34" spans="1:14">
      <c r="A34" s="44"/>
      <c r="B34" s="71" t="s">
        <v>467</v>
      </c>
      <c r="C34" s="64"/>
      <c r="D34" s="38"/>
      <c r="E34" s="38"/>
      <c r="F34" s="46"/>
      <c r="G34" s="80"/>
      <c r="H34" s="46"/>
      <c r="I34" s="44"/>
      <c r="J34" s="44"/>
      <c r="K34" s="63"/>
    </row>
    <row r="35" spans="1:14">
      <c r="A35" s="44"/>
      <c r="B35" s="44" t="s">
        <v>468</v>
      </c>
      <c r="C35" s="64" t="s">
        <v>441</v>
      </c>
      <c r="D35" s="38">
        <v>5.23</v>
      </c>
      <c r="E35" s="45" t="s">
        <v>39</v>
      </c>
      <c r="F35" s="38">
        <f>4*2</f>
        <v>8</v>
      </c>
      <c r="G35" s="46">
        <f t="shared" ref="G35:G43" si="4">F35*D35</f>
        <v>41.84</v>
      </c>
      <c r="H35" s="80">
        <f>(144/162)</f>
        <v>0.88888888888888884</v>
      </c>
      <c r="I35" s="46">
        <f t="shared" ref="I35:I37" si="5">ROUND((H35*G35),2)</f>
        <v>37.19</v>
      </c>
      <c r="J35" s="44"/>
      <c r="K35" s="63"/>
    </row>
    <row r="36" spans="1:14">
      <c r="A36" s="44"/>
      <c r="B36" s="44" t="s">
        <v>469</v>
      </c>
      <c r="C36" s="64" t="s">
        <v>437</v>
      </c>
      <c r="D36" s="38">
        <f>0.975+0.45+1.04</f>
        <v>2.4649999999999999</v>
      </c>
      <c r="E36" s="45" t="s">
        <v>24</v>
      </c>
      <c r="F36" s="38">
        <f>2*2</f>
        <v>4</v>
      </c>
      <c r="G36" s="46">
        <f t="shared" si="4"/>
        <v>9.86</v>
      </c>
      <c r="H36" s="80">
        <f>(16*16)/162</f>
        <v>1.5802469135802468</v>
      </c>
      <c r="I36" s="46">
        <f t="shared" si="5"/>
        <v>15.58</v>
      </c>
      <c r="J36" s="44"/>
      <c r="K36" s="63"/>
    </row>
    <row r="37" spans="1:14">
      <c r="A37" s="44"/>
      <c r="B37" s="44" t="s">
        <v>469</v>
      </c>
      <c r="C37" s="64" t="s">
        <v>437</v>
      </c>
      <c r="D37" s="38">
        <f>0.975+0.37+0.3</f>
        <v>1.645</v>
      </c>
      <c r="E37" s="45" t="s">
        <v>24</v>
      </c>
      <c r="F37" s="38">
        <f>2*2</f>
        <v>4</v>
      </c>
      <c r="G37" s="46">
        <f t="shared" si="4"/>
        <v>6.58</v>
      </c>
      <c r="H37" s="80">
        <f t="shared" ref="H37:H42" si="6">(16*16)/162</f>
        <v>1.5802469135802468</v>
      </c>
      <c r="I37" s="46">
        <f t="shared" si="5"/>
        <v>10.4</v>
      </c>
      <c r="J37" s="44"/>
      <c r="K37" s="63"/>
    </row>
    <row r="38" spans="1:14">
      <c r="A38" s="44"/>
      <c r="B38" s="44" t="s">
        <v>470</v>
      </c>
      <c r="C38" s="64" t="s">
        <v>437</v>
      </c>
      <c r="D38" s="38">
        <v>2.95</v>
      </c>
      <c r="E38" s="45" t="s">
        <v>19</v>
      </c>
      <c r="F38" s="38">
        <f>2*1</f>
        <v>2</v>
      </c>
      <c r="G38" s="46">
        <f t="shared" si="4"/>
        <v>5.9</v>
      </c>
      <c r="H38" s="80">
        <f t="shared" si="6"/>
        <v>1.5802469135802468</v>
      </c>
      <c r="I38" s="46">
        <f>ROUND((H38*G38),2)</f>
        <v>9.32</v>
      </c>
      <c r="J38" s="44"/>
      <c r="K38" s="63"/>
    </row>
    <row r="39" spans="1:14">
      <c r="A39" s="44"/>
      <c r="B39" s="44" t="s">
        <v>471</v>
      </c>
      <c r="C39" s="64" t="s">
        <v>445</v>
      </c>
      <c r="D39" s="38">
        <f>0.18+0.4+0.18+0.4+0.14</f>
        <v>1.3000000000000003</v>
      </c>
      <c r="E39" s="45" t="s">
        <v>472</v>
      </c>
      <c r="F39" s="38">
        <f>33*2</f>
        <v>66</v>
      </c>
      <c r="G39" s="46">
        <f t="shared" si="4"/>
        <v>85.800000000000011</v>
      </c>
      <c r="H39" s="80">
        <v>0.39500000000000002</v>
      </c>
      <c r="I39" s="46">
        <f>ROUND((H39*G39),2)</f>
        <v>33.89</v>
      </c>
      <c r="J39" s="44"/>
      <c r="K39" s="63"/>
    </row>
    <row r="40" spans="1:14">
      <c r="A40" s="44"/>
      <c r="B40" s="44" t="s">
        <v>473</v>
      </c>
      <c r="C40" s="64" t="s">
        <v>441</v>
      </c>
      <c r="D40" s="38">
        <f>3.06+0.3+0.3</f>
        <v>3.6599999999999997</v>
      </c>
      <c r="E40" s="45" t="s">
        <v>24</v>
      </c>
      <c r="F40" s="38">
        <f>1*4</f>
        <v>4</v>
      </c>
      <c r="G40" s="46">
        <f t="shared" si="4"/>
        <v>14.639999999999999</v>
      </c>
      <c r="H40" s="80">
        <f>(144/162)</f>
        <v>0.88888888888888884</v>
      </c>
      <c r="I40" s="46">
        <f>ROUND((H40*G40),2)</f>
        <v>13.01</v>
      </c>
      <c r="J40" s="44"/>
      <c r="K40" s="1"/>
    </row>
    <row r="41" spans="1:14" ht="16.5" customHeight="1">
      <c r="A41" s="44"/>
      <c r="B41" s="44" t="s">
        <v>474</v>
      </c>
      <c r="C41" s="64" t="s">
        <v>437</v>
      </c>
      <c r="D41" s="38">
        <f>0.725+0.25+0.3</f>
        <v>1.2749999999999999</v>
      </c>
      <c r="E41" s="45" t="s">
        <v>19</v>
      </c>
      <c r="F41" s="38">
        <f>2*1</f>
        <v>2</v>
      </c>
      <c r="G41" s="46">
        <f t="shared" si="4"/>
        <v>2.5499999999999998</v>
      </c>
      <c r="H41" s="80">
        <f t="shared" si="6"/>
        <v>1.5802469135802468</v>
      </c>
      <c r="I41" s="46">
        <f t="shared" ref="I41:I43" si="7">ROUND((H41*G41),2)</f>
        <v>4.03</v>
      </c>
      <c r="J41" s="44"/>
      <c r="K41" s="1"/>
    </row>
    <row r="42" spans="1:14">
      <c r="A42" s="44"/>
      <c r="B42" s="44" t="s">
        <v>475</v>
      </c>
      <c r="C42" s="64" t="s">
        <v>437</v>
      </c>
      <c r="D42" s="38">
        <v>2.2999999999999998</v>
      </c>
      <c r="E42" s="45" t="s">
        <v>13</v>
      </c>
      <c r="F42" s="38">
        <v>1</v>
      </c>
      <c r="G42" s="46">
        <f t="shared" si="4"/>
        <v>2.2999999999999998</v>
      </c>
      <c r="H42" s="80">
        <f t="shared" si="6"/>
        <v>1.5802469135802468</v>
      </c>
      <c r="I42" s="46">
        <f t="shared" si="7"/>
        <v>3.63</v>
      </c>
      <c r="J42" s="44"/>
      <c r="K42" s="1"/>
    </row>
    <row r="43" spans="1:14">
      <c r="A43" s="44"/>
      <c r="B43" s="44" t="s">
        <v>471</v>
      </c>
      <c r="C43" s="64" t="s">
        <v>445</v>
      </c>
      <c r="D43" s="38">
        <f>0.18+0.4+0.18+0.4+0.14</f>
        <v>1.3000000000000003</v>
      </c>
      <c r="E43" s="45" t="s">
        <v>54</v>
      </c>
      <c r="F43" s="38">
        <v>18</v>
      </c>
      <c r="G43" s="46">
        <f t="shared" si="4"/>
        <v>23.400000000000006</v>
      </c>
      <c r="H43" s="80">
        <v>0.39500000000000002</v>
      </c>
      <c r="I43" s="46">
        <f t="shared" si="7"/>
        <v>9.24</v>
      </c>
      <c r="J43" s="44"/>
      <c r="K43" s="1"/>
    </row>
    <row r="44" spans="1:14">
      <c r="A44" s="44"/>
      <c r="B44" s="81" t="s">
        <v>476</v>
      </c>
      <c r="C44" s="44"/>
      <c r="D44" s="44"/>
      <c r="E44" s="45"/>
      <c r="F44" s="44"/>
      <c r="G44" s="44"/>
      <c r="H44" s="44"/>
      <c r="I44" s="44"/>
      <c r="J44" s="44"/>
      <c r="K44" s="1"/>
    </row>
    <row r="45" spans="1:14">
      <c r="A45" s="44"/>
      <c r="B45" s="44" t="s">
        <v>477</v>
      </c>
      <c r="C45" s="64" t="s">
        <v>463</v>
      </c>
      <c r="D45" s="46">
        <v>1.25</v>
      </c>
      <c r="E45" s="45" t="s">
        <v>478</v>
      </c>
      <c r="F45" s="46">
        <v>45</v>
      </c>
      <c r="G45" s="46">
        <f t="shared" ref="G45:G57" si="8">F45*D45</f>
        <v>56.25</v>
      </c>
      <c r="H45" s="80">
        <f>100/162</f>
        <v>0.61728395061728392</v>
      </c>
      <c r="I45" s="46">
        <f t="shared" ref="I45:I57" si="9">ROUND((H45*G45),2)</f>
        <v>34.72</v>
      </c>
      <c r="J45" s="44"/>
      <c r="K45" s="1"/>
    </row>
    <row r="46" spans="1:14">
      <c r="A46" s="44"/>
      <c r="B46" s="44" t="s">
        <v>479</v>
      </c>
      <c r="C46" s="64" t="s">
        <v>463</v>
      </c>
      <c r="D46" s="46">
        <v>7</v>
      </c>
      <c r="E46" s="45" t="s">
        <v>20</v>
      </c>
      <c r="F46" s="46">
        <v>10</v>
      </c>
      <c r="G46" s="46">
        <f t="shared" si="8"/>
        <v>70</v>
      </c>
      <c r="H46" s="80">
        <f>100/162</f>
        <v>0.61728395061728392</v>
      </c>
      <c r="I46" s="46">
        <f t="shared" si="9"/>
        <v>43.21</v>
      </c>
      <c r="J46" s="44"/>
      <c r="K46" s="1"/>
      <c r="M46" s="12"/>
      <c r="N46">
        <f>SUM(N41:N45)</f>
        <v>0</v>
      </c>
    </row>
    <row r="47" spans="1:14">
      <c r="A47" s="44"/>
      <c r="B47" s="44" t="s">
        <v>480</v>
      </c>
      <c r="C47" s="64" t="s">
        <v>463</v>
      </c>
      <c r="D47" s="38">
        <v>1.25</v>
      </c>
      <c r="E47" s="45" t="s">
        <v>481</v>
      </c>
      <c r="F47" s="38">
        <v>15</v>
      </c>
      <c r="G47" s="46">
        <f t="shared" si="8"/>
        <v>18.75</v>
      </c>
      <c r="H47" s="80">
        <f>100/162</f>
        <v>0.61728395061728392</v>
      </c>
      <c r="I47" s="46">
        <f t="shared" si="9"/>
        <v>11.57</v>
      </c>
      <c r="J47" s="44"/>
    </row>
    <row r="48" spans="1:14">
      <c r="A48" s="44"/>
      <c r="B48" s="44" t="s">
        <v>482</v>
      </c>
      <c r="C48" s="64" t="s">
        <v>437</v>
      </c>
      <c r="D48" s="38">
        <f>1.5+1.05</f>
        <v>2.5499999999999998</v>
      </c>
      <c r="E48" s="45" t="s">
        <v>483</v>
      </c>
      <c r="F48" s="38">
        <v>13</v>
      </c>
      <c r="G48" s="46">
        <f t="shared" si="8"/>
        <v>33.15</v>
      </c>
      <c r="H48" s="80">
        <f>(16*16)/162</f>
        <v>1.5802469135802468</v>
      </c>
      <c r="I48" s="46">
        <f t="shared" si="9"/>
        <v>52.39</v>
      </c>
      <c r="J48" s="44"/>
    </row>
    <row r="49" spans="1:10">
      <c r="A49" s="44"/>
      <c r="B49" s="44" t="s">
        <v>480</v>
      </c>
      <c r="C49" s="64" t="s">
        <v>463</v>
      </c>
      <c r="D49" s="38">
        <v>1.25</v>
      </c>
      <c r="E49" s="45" t="s">
        <v>481</v>
      </c>
      <c r="F49" s="38">
        <v>15</v>
      </c>
      <c r="G49" s="46">
        <f t="shared" si="8"/>
        <v>18.75</v>
      </c>
      <c r="H49" s="80">
        <f>100/162</f>
        <v>0.61728395061728392</v>
      </c>
      <c r="I49" s="46">
        <f t="shared" si="9"/>
        <v>11.57</v>
      </c>
      <c r="J49" s="44"/>
    </row>
    <row r="50" spans="1:10">
      <c r="A50" s="44"/>
      <c r="B50" s="44" t="s">
        <v>484</v>
      </c>
      <c r="C50" s="64" t="s">
        <v>463</v>
      </c>
      <c r="D50" s="38">
        <v>7</v>
      </c>
      <c r="E50" s="45" t="s">
        <v>20</v>
      </c>
      <c r="F50" s="38">
        <v>10</v>
      </c>
      <c r="G50" s="46">
        <f t="shared" si="8"/>
        <v>70</v>
      </c>
      <c r="H50" s="80">
        <f>100/162</f>
        <v>0.61728395061728392</v>
      </c>
      <c r="I50" s="46">
        <f t="shared" si="9"/>
        <v>43.21</v>
      </c>
      <c r="J50" s="44"/>
    </row>
    <row r="51" spans="1:10">
      <c r="A51" s="44"/>
      <c r="B51" s="44" t="s">
        <v>485</v>
      </c>
      <c r="C51" s="64" t="s">
        <v>463</v>
      </c>
      <c r="D51" s="38">
        <v>1.25</v>
      </c>
      <c r="E51" s="45" t="s">
        <v>486</v>
      </c>
      <c r="F51" s="38">
        <v>40</v>
      </c>
      <c r="G51" s="46">
        <f t="shared" si="8"/>
        <v>50</v>
      </c>
      <c r="H51" s="80">
        <f t="shared" ref="H51:H52" si="10">100/162</f>
        <v>0.61728395061728392</v>
      </c>
      <c r="I51" s="46">
        <f t="shared" si="9"/>
        <v>30.86</v>
      </c>
      <c r="J51" s="44"/>
    </row>
    <row r="52" spans="1:10">
      <c r="A52" s="44"/>
      <c r="B52" s="44" t="s">
        <v>487</v>
      </c>
      <c r="C52" s="64" t="s">
        <v>463</v>
      </c>
      <c r="D52" s="38">
        <v>1.25</v>
      </c>
      <c r="E52" s="45" t="s">
        <v>486</v>
      </c>
      <c r="F52" s="38">
        <v>40</v>
      </c>
      <c r="G52" s="46">
        <f t="shared" si="8"/>
        <v>50</v>
      </c>
      <c r="H52" s="80">
        <f t="shared" si="10"/>
        <v>0.61728395061728392</v>
      </c>
      <c r="I52" s="46">
        <f t="shared" si="9"/>
        <v>30.86</v>
      </c>
      <c r="J52" s="44"/>
    </row>
    <row r="53" spans="1:10">
      <c r="A53" s="44"/>
      <c r="B53" s="44" t="s">
        <v>488</v>
      </c>
      <c r="C53" s="64" t="s">
        <v>441</v>
      </c>
      <c r="D53" s="38">
        <v>3.5</v>
      </c>
      <c r="E53" s="45" t="s">
        <v>24</v>
      </c>
      <c r="F53" s="38">
        <f>1*4</f>
        <v>4</v>
      </c>
      <c r="G53" s="46">
        <f t="shared" si="8"/>
        <v>14</v>
      </c>
      <c r="H53" s="80">
        <v>0.88800000000000001</v>
      </c>
      <c r="I53" s="46">
        <f t="shared" si="9"/>
        <v>12.43</v>
      </c>
      <c r="J53" s="44"/>
    </row>
    <row r="54" spans="1:10">
      <c r="A54" s="44"/>
      <c r="B54" s="44" t="s">
        <v>438</v>
      </c>
      <c r="C54" s="64" t="s">
        <v>437</v>
      </c>
      <c r="D54" s="38">
        <f>0.725+0.27+0.3</f>
        <v>1.2949999999999999</v>
      </c>
      <c r="E54" s="45" t="s">
        <v>19</v>
      </c>
      <c r="F54" s="38">
        <f>2*1</f>
        <v>2</v>
      </c>
      <c r="G54" s="46">
        <f t="shared" si="8"/>
        <v>2.59</v>
      </c>
      <c r="H54" s="80">
        <v>1.58</v>
      </c>
      <c r="I54" s="46">
        <f t="shared" si="9"/>
        <v>4.09</v>
      </c>
      <c r="J54" s="44"/>
    </row>
    <row r="55" spans="1:10">
      <c r="A55" s="44"/>
      <c r="B55" s="44" t="s">
        <v>440</v>
      </c>
      <c r="C55" s="64" t="s">
        <v>437</v>
      </c>
      <c r="D55" s="38">
        <f>2.85-0.275-0.275</f>
        <v>2.3000000000000003</v>
      </c>
      <c r="E55" s="45" t="s">
        <v>13</v>
      </c>
      <c r="F55" s="38">
        <f>1*1</f>
        <v>1</v>
      </c>
      <c r="G55" s="46">
        <f t="shared" si="8"/>
        <v>2.3000000000000003</v>
      </c>
      <c r="H55" s="80">
        <v>1.58</v>
      </c>
      <c r="I55" s="46">
        <f t="shared" si="9"/>
        <v>3.63</v>
      </c>
      <c r="J55" s="44"/>
    </row>
    <row r="56" spans="1:10">
      <c r="A56" s="44"/>
      <c r="B56" s="44" t="s">
        <v>471</v>
      </c>
      <c r="C56" s="64" t="s">
        <v>445</v>
      </c>
      <c r="D56" s="38">
        <f>0.18+0.4+0.18+0.4+0.14</f>
        <v>1.3000000000000003</v>
      </c>
      <c r="E56" s="45" t="s">
        <v>54</v>
      </c>
      <c r="F56" s="38">
        <v>18</v>
      </c>
      <c r="G56" s="46">
        <f t="shared" si="8"/>
        <v>23.400000000000006</v>
      </c>
      <c r="H56" s="80">
        <v>0.39500000000000002</v>
      </c>
      <c r="I56" s="46">
        <f t="shared" si="9"/>
        <v>9.24</v>
      </c>
      <c r="J56" s="44"/>
    </row>
    <row r="57" spans="1:10">
      <c r="A57" s="44"/>
      <c r="B57" s="44" t="s">
        <v>489</v>
      </c>
      <c r="C57" s="64" t="s">
        <v>463</v>
      </c>
      <c r="D57" s="38">
        <v>1.3</v>
      </c>
      <c r="E57" s="64" t="s">
        <v>481</v>
      </c>
      <c r="F57" s="38">
        <v>15</v>
      </c>
      <c r="G57" s="46">
        <f t="shared" si="8"/>
        <v>19.5</v>
      </c>
      <c r="H57" s="76">
        <v>0.61699999999999999</v>
      </c>
      <c r="I57" s="38">
        <f t="shared" si="9"/>
        <v>12.03</v>
      </c>
      <c r="J57" s="44"/>
    </row>
    <row r="58" spans="1:10" ht="15.75">
      <c r="A58" s="44"/>
      <c r="B58" s="44"/>
      <c r="C58" s="64"/>
      <c r="D58" s="38"/>
      <c r="E58" s="64"/>
      <c r="F58" s="38"/>
      <c r="G58" s="79"/>
      <c r="H58" s="76"/>
      <c r="I58" s="73">
        <f>SUM(I14:I57)</f>
        <v>3071.9800000000005</v>
      </c>
      <c r="J58" s="44"/>
    </row>
    <row r="60" spans="1:10" ht="23.25">
      <c r="A60" s="287" t="s">
        <v>495</v>
      </c>
      <c r="B60" s="287"/>
      <c r="C60" s="287"/>
      <c r="D60" s="287"/>
      <c r="E60" s="287"/>
      <c r="F60" s="287"/>
      <c r="G60" s="287"/>
      <c r="H60" s="287"/>
    </row>
    <row r="61" spans="1:10" ht="15.75">
      <c r="A61" s="59" t="s">
        <v>0</v>
      </c>
      <c r="B61" s="59" t="s">
        <v>417</v>
      </c>
      <c r="C61" s="59" t="s">
        <v>28</v>
      </c>
      <c r="D61" s="59" t="s">
        <v>3</v>
      </c>
      <c r="E61" s="59" t="s">
        <v>4</v>
      </c>
      <c r="F61" s="59" t="s">
        <v>5</v>
      </c>
      <c r="G61" s="59" t="s">
        <v>490</v>
      </c>
      <c r="H61" s="59" t="s">
        <v>238</v>
      </c>
    </row>
    <row r="62" spans="1:10" ht="15.75">
      <c r="A62" s="44"/>
      <c r="B62" s="65" t="s">
        <v>491</v>
      </c>
      <c r="C62" s="44"/>
      <c r="D62" s="44"/>
      <c r="E62" s="44"/>
      <c r="F62" s="44"/>
      <c r="G62" s="66"/>
      <c r="H62" s="44"/>
    </row>
    <row r="63" spans="1:10" ht="21.75" customHeight="1">
      <c r="A63" s="44"/>
      <c r="B63" s="44" t="s">
        <v>492</v>
      </c>
      <c r="C63" s="64" t="s">
        <v>423</v>
      </c>
      <c r="D63" s="38">
        <v>9.8000000000000007</v>
      </c>
      <c r="E63" s="38">
        <v>0.3</v>
      </c>
      <c r="F63" s="64">
        <v>0.42</v>
      </c>
      <c r="G63" s="83">
        <f>F63*E63*D63</f>
        <v>1.2348000000000001</v>
      </c>
      <c r="H63" s="44"/>
    </row>
    <row r="64" spans="1:10" ht="18" customHeight="1">
      <c r="A64" s="44"/>
      <c r="B64" s="44" t="s">
        <v>493</v>
      </c>
      <c r="C64" s="64" t="s">
        <v>423</v>
      </c>
      <c r="D64" s="38">
        <v>12.2</v>
      </c>
      <c r="E64" s="38">
        <v>2.2000000000000002</v>
      </c>
      <c r="F64" s="38">
        <v>0.12</v>
      </c>
      <c r="G64" s="85">
        <f t="shared" ref="G64" si="11">F64*E64*D64*3.14</f>
        <v>10.113312000000001</v>
      </c>
      <c r="H64" s="44"/>
    </row>
    <row r="65" spans="1:9" ht="15.75">
      <c r="A65" s="44"/>
      <c r="B65" s="44" t="s">
        <v>494</v>
      </c>
      <c r="C65" s="44" t="s">
        <v>299</v>
      </c>
      <c r="D65" s="38">
        <v>77</v>
      </c>
      <c r="E65" s="64">
        <v>0.125</v>
      </c>
      <c r="F65" s="44"/>
      <c r="G65" s="84">
        <f>D65*E65</f>
        <v>9.625</v>
      </c>
      <c r="H65" s="44"/>
    </row>
    <row r="66" spans="1:9" ht="15.75">
      <c r="A66" s="44"/>
      <c r="B66" s="44"/>
      <c r="C66" s="44"/>
      <c r="D66" s="44"/>
      <c r="E66" s="44"/>
      <c r="F66" s="44"/>
      <c r="G66" s="82">
        <f>SUM(G63:G65)</f>
        <v>20.973112</v>
      </c>
      <c r="H66" s="44"/>
    </row>
    <row r="67" spans="1:9" ht="15.75">
      <c r="A67" s="6"/>
      <c r="B67" s="6"/>
      <c r="C67" s="6"/>
      <c r="D67" s="6"/>
      <c r="E67" s="6"/>
      <c r="F67" s="6"/>
      <c r="G67" s="236"/>
      <c r="H67" s="6"/>
    </row>
    <row r="69" spans="1:9" ht="26.25">
      <c r="A69" s="286" t="s">
        <v>496</v>
      </c>
      <c r="B69" s="286"/>
      <c r="C69" s="286"/>
      <c r="D69" s="286"/>
      <c r="E69" s="286"/>
      <c r="F69" s="286"/>
      <c r="G69" s="286"/>
      <c r="H69" s="286"/>
      <c r="I69" s="286"/>
    </row>
    <row r="70" spans="1:9" ht="37.5">
      <c r="A70" s="43" t="s">
        <v>0</v>
      </c>
      <c r="B70" s="43" t="s">
        <v>417</v>
      </c>
      <c r="C70" s="288" t="s">
        <v>28</v>
      </c>
      <c r="D70" s="289"/>
      <c r="E70" s="290"/>
      <c r="F70" s="43" t="s">
        <v>3</v>
      </c>
      <c r="G70" s="43" t="s">
        <v>4</v>
      </c>
      <c r="H70" s="43" t="s">
        <v>418</v>
      </c>
      <c r="I70" s="43" t="s">
        <v>238</v>
      </c>
    </row>
    <row r="71" spans="1:9" ht="18.75">
      <c r="A71" s="87">
        <v>1</v>
      </c>
      <c r="B71" s="56" t="s">
        <v>497</v>
      </c>
      <c r="C71" s="87">
        <v>2</v>
      </c>
      <c r="D71" s="87" t="s">
        <v>425</v>
      </c>
      <c r="E71" s="87">
        <v>3.14</v>
      </c>
      <c r="F71" s="88">
        <v>8.7579999999999991</v>
      </c>
      <c r="G71" s="88">
        <v>1.4</v>
      </c>
      <c r="H71" s="88">
        <f>G71*F71*E71*C71</f>
        <v>77.00033599999999</v>
      </c>
      <c r="I71" s="43"/>
    </row>
    <row r="72" spans="1:9" ht="18.75">
      <c r="A72" s="87">
        <v>2</v>
      </c>
      <c r="B72" s="56" t="s">
        <v>498</v>
      </c>
      <c r="C72" s="87">
        <v>1</v>
      </c>
      <c r="D72" s="87" t="s">
        <v>425</v>
      </c>
      <c r="E72" s="87">
        <v>3.14</v>
      </c>
      <c r="F72" s="88">
        <v>12</v>
      </c>
      <c r="G72" s="88">
        <v>2.2000000000000002</v>
      </c>
      <c r="H72" s="88">
        <f t="shared" ref="H72:H77" si="12">G72*F72*E72*C72</f>
        <v>82.896000000000015</v>
      </c>
      <c r="I72" s="43"/>
    </row>
    <row r="73" spans="1:9" ht="18.75">
      <c r="A73" s="87">
        <v>3</v>
      </c>
      <c r="B73" s="56" t="s">
        <v>499</v>
      </c>
      <c r="C73" s="87">
        <v>1</v>
      </c>
      <c r="D73" s="87" t="s">
        <v>425</v>
      </c>
      <c r="E73" s="87">
        <v>3.14</v>
      </c>
      <c r="F73" s="88">
        <v>15.4</v>
      </c>
      <c r="G73" s="88">
        <v>0.9</v>
      </c>
      <c r="H73" s="88">
        <f t="shared" si="12"/>
        <v>43.520400000000002</v>
      </c>
      <c r="I73" s="43"/>
    </row>
    <row r="74" spans="1:9" ht="18.75">
      <c r="A74" s="87">
        <v>4</v>
      </c>
      <c r="B74" s="47" t="s">
        <v>503</v>
      </c>
      <c r="C74" s="87">
        <v>1</v>
      </c>
      <c r="D74" s="87" t="s">
        <v>425</v>
      </c>
      <c r="E74" s="87">
        <v>3.14</v>
      </c>
      <c r="F74" s="88">
        <v>14.5</v>
      </c>
      <c r="G74" s="87">
        <v>4.55</v>
      </c>
      <c r="H74" s="88">
        <f t="shared" si="12"/>
        <v>207.16149999999999</v>
      </c>
      <c r="I74" s="43"/>
    </row>
    <row r="75" spans="1:9" ht="18.75">
      <c r="A75" s="87">
        <v>5</v>
      </c>
      <c r="B75" s="47" t="s">
        <v>504</v>
      </c>
      <c r="C75" s="87">
        <v>1</v>
      </c>
      <c r="D75" s="87" t="s">
        <v>425</v>
      </c>
      <c r="E75" s="87">
        <v>3.14</v>
      </c>
      <c r="F75" s="88">
        <v>14</v>
      </c>
      <c r="G75" s="87">
        <v>4.43</v>
      </c>
      <c r="H75" s="88">
        <f t="shared" si="12"/>
        <v>194.74279999999999</v>
      </c>
      <c r="I75" s="43"/>
    </row>
    <row r="76" spans="1:9" ht="18.75">
      <c r="A76" s="87">
        <v>6</v>
      </c>
      <c r="B76" s="56" t="s">
        <v>500</v>
      </c>
      <c r="C76" s="87">
        <v>1</v>
      </c>
      <c r="D76" s="87" t="s">
        <v>425</v>
      </c>
      <c r="E76" s="87">
        <v>3.14</v>
      </c>
      <c r="F76" s="88">
        <v>12</v>
      </c>
      <c r="G76" s="88">
        <v>2.5</v>
      </c>
      <c r="H76" s="88">
        <f t="shared" si="12"/>
        <v>94.2</v>
      </c>
      <c r="I76" s="47"/>
    </row>
    <row r="77" spans="1:9" ht="18.75">
      <c r="A77" s="87">
        <v>7</v>
      </c>
      <c r="B77" s="56" t="s">
        <v>501</v>
      </c>
      <c r="C77" s="87">
        <v>2</v>
      </c>
      <c r="D77" s="87" t="s">
        <v>425</v>
      </c>
      <c r="E77" s="87">
        <v>3.14</v>
      </c>
      <c r="F77" s="88">
        <v>8.7579999999999991</v>
      </c>
      <c r="G77" s="88">
        <v>1.4</v>
      </c>
      <c r="H77" s="88">
        <f t="shared" si="12"/>
        <v>77.00033599999999</v>
      </c>
      <c r="I77" s="47"/>
    </row>
    <row r="78" spans="1:9" ht="21">
      <c r="A78" s="44"/>
      <c r="B78" s="44"/>
      <c r="C78" s="44"/>
      <c r="D78" s="44"/>
      <c r="E78" s="44"/>
      <c r="F78" s="291" t="s">
        <v>502</v>
      </c>
      <c r="G78" s="291"/>
      <c r="H78" s="74">
        <f>SUM(H71:H77)</f>
        <v>776.52137200000004</v>
      </c>
      <c r="I78" s="44"/>
    </row>
    <row r="80" spans="1:9" ht="21">
      <c r="A80" s="292" t="s">
        <v>505</v>
      </c>
      <c r="B80" s="292"/>
      <c r="C80" s="292"/>
      <c r="D80" s="292"/>
      <c r="E80" s="292"/>
      <c r="F80" s="292"/>
      <c r="G80" s="292"/>
      <c r="H80" s="292"/>
    </row>
    <row r="81" spans="1:11" ht="18.75">
      <c r="A81" s="89" t="s">
        <v>252</v>
      </c>
      <c r="B81" s="89" t="s">
        <v>1</v>
      </c>
      <c r="C81" s="293" t="s">
        <v>430</v>
      </c>
      <c r="D81" s="294"/>
      <c r="E81" s="295"/>
      <c r="F81" s="90" t="s">
        <v>3</v>
      </c>
      <c r="G81" s="89" t="s">
        <v>506</v>
      </c>
      <c r="H81" s="89" t="s">
        <v>238</v>
      </c>
    </row>
    <row r="82" spans="1:11" ht="18.75">
      <c r="A82" s="44"/>
      <c r="B82" s="8" t="s">
        <v>507</v>
      </c>
      <c r="C82" s="8"/>
      <c r="D82" s="8"/>
      <c r="E82" s="44"/>
      <c r="F82" s="44"/>
      <c r="G82" s="44"/>
      <c r="H82" s="44"/>
    </row>
    <row r="83" spans="1:11" ht="18.75">
      <c r="A83" s="47">
        <v>1</v>
      </c>
      <c r="B83" s="47" t="s">
        <v>508</v>
      </c>
      <c r="C83" s="88">
        <v>1</v>
      </c>
      <c r="D83" s="88" t="s">
        <v>509</v>
      </c>
      <c r="E83" s="88">
        <v>3.14</v>
      </c>
      <c r="F83" s="88">
        <v>16</v>
      </c>
      <c r="G83" s="88">
        <f>ROUND((F83*E83*C83),2)</f>
        <v>50.24</v>
      </c>
      <c r="H83" s="44"/>
    </row>
    <row r="84" spans="1:11" ht="18.75">
      <c r="A84" s="47">
        <v>2</v>
      </c>
      <c r="B84" s="47" t="s">
        <v>510</v>
      </c>
      <c r="C84" s="88">
        <v>1</v>
      </c>
      <c r="D84" s="88" t="s">
        <v>509</v>
      </c>
      <c r="E84" s="88">
        <v>3.14</v>
      </c>
      <c r="F84" s="88">
        <v>14.3</v>
      </c>
      <c r="G84" s="88">
        <f>ROUND((F84*E84*C84),2)</f>
        <v>44.9</v>
      </c>
      <c r="H84" s="44"/>
    </row>
    <row r="85" spans="1:11" ht="18.75">
      <c r="A85" s="44"/>
      <c r="B85" s="8" t="s">
        <v>511</v>
      </c>
      <c r="C85" s="44"/>
      <c r="D85" s="44"/>
      <c r="E85" s="44"/>
      <c r="F85" s="44"/>
      <c r="G85" s="44"/>
      <c r="H85" s="44"/>
    </row>
    <row r="86" spans="1:11" ht="18.75">
      <c r="A86" s="47">
        <v>1</v>
      </c>
      <c r="B86" s="47" t="s">
        <v>512</v>
      </c>
      <c r="C86" s="88">
        <v>2</v>
      </c>
      <c r="D86" s="88" t="s">
        <v>509</v>
      </c>
      <c r="E86" s="88">
        <v>9</v>
      </c>
      <c r="F86" s="88">
        <v>4.5</v>
      </c>
      <c r="G86" s="88">
        <f>F86*E86*C86</f>
        <v>81</v>
      </c>
      <c r="H86" s="44"/>
    </row>
    <row r="87" spans="1:11" ht="18.75">
      <c r="A87" s="47">
        <v>2</v>
      </c>
      <c r="B87" s="47" t="s">
        <v>462</v>
      </c>
      <c r="C87" s="88">
        <v>1</v>
      </c>
      <c r="D87" s="88" t="s">
        <v>509</v>
      </c>
      <c r="E87" s="88">
        <v>9</v>
      </c>
      <c r="F87" s="88">
        <f>1+3.16+1</f>
        <v>5.16</v>
      </c>
      <c r="G87" s="88">
        <f>F87*E87*C87</f>
        <v>46.44</v>
      </c>
      <c r="H87" s="44"/>
    </row>
    <row r="88" spans="1:11" ht="18.75">
      <c r="A88" s="44"/>
      <c r="B88" s="8" t="s">
        <v>513</v>
      </c>
      <c r="C88" s="44"/>
      <c r="D88" s="44"/>
      <c r="E88" s="44"/>
      <c r="F88" s="44"/>
      <c r="G88" s="88"/>
      <c r="H88" s="44"/>
    </row>
    <row r="89" spans="1:11" ht="18.75">
      <c r="A89" s="47">
        <v>1</v>
      </c>
      <c r="B89" s="47" t="s">
        <v>514</v>
      </c>
      <c r="C89" s="48">
        <v>1</v>
      </c>
      <c r="D89" s="48" t="s">
        <v>509</v>
      </c>
      <c r="E89" s="48">
        <v>3.14</v>
      </c>
      <c r="F89" s="48">
        <v>13.8</v>
      </c>
      <c r="G89" s="88">
        <f t="shared" ref="G89" si="13">F89*E89*C89</f>
        <v>43.332000000000001</v>
      </c>
      <c r="H89" s="44"/>
    </row>
    <row r="90" spans="1:11" ht="18.75">
      <c r="A90" s="44"/>
      <c r="B90" s="44"/>
      <c r="C90" s="44"/>
      <c r="D90" s="44"/>
      <c r="E90" s="44"/>
      <c r="F90" s="44"/>
      <c r="G90" s="72">
        <f>SUM(G83:G89)</f>
        <v>265.91199999999998</v>
      </c>
      <c r="H90" s="89" t="s">
        <v>41</v>
      </c>
    </row>
    <row r="92" spans="1:11" ht="26.25">
      <c r="A92" s="286" t="s">
        <v>515</v>
      </c>
      <c r="B92" s="286"/>
      <c r="C92" s="286"/>
      <c r="D92" s="286"/>
      <c r="E92" s="286"/>
      <c r="F92" s="286"/>
      <c r="G92" s="286"/>
      <c r="H92" s="286"/>
      <c r="I92" s="286"/>
      <c r="J92" s="286"/>
      <c r="K92" s="286"/>
    </row>
    <row r="93" spans="1:11" ht="18.75">
      <c r="A93" s="43" t="s">
        <v>0</v>
      </c>
      <c r="B93" s="43" t="s">
        <v>417</v>
      </c>
      <c r="C93" s="288" t="s">
        <v>28</v>
      </c>
      <c r="D93" s="289"/>
      <c r="E93" s="289"/>
      <c r="F93" s="289"/>
      <c r="G93" s="290"/>
      <c r="H93" s="43" t="s">
        <v>3</v>
      </c>
      <c r="I93" s="43" t="s">
        <v>4</v>
      </c>
      <c r="J93" s="43" t="s">
        <v>418</v>
      </c>
      <c r="K93" s="43" t="s">
        <v>238</v>
      </c>
    </row>
    <row r="94" spans="1:11" ht="18.75">
      <c r="A94" s="86">
        <v>1</v>
      </c>
      <c r="B94" s="86" t="s">
        <v>516</v>
      </c>
      <c r="C94" s="86">
        <v>1</v>
      </c>
      <c r="D94" s="86" t="s">
        <v>425</v>
      </c>
      <c r="E94" s="86">
        <v>12</v>
      </c>
      <c r="F94" s="86" t="s">
        <v>425</v>
      </c>
      <c r="G94" s="86">
        <v>4</v>
      </c>
      <c r="H94" s="91">
        <v>0.5</v>
      </c>
      <c r="I94" s="91">
        <v>15</v>
      </c>
      <c r="J94" s="91">
        <f>I94*H94*G94*E94*C94</f>
        <v>360</v>
      </c>
      <c r="K94" s="86"/>
    </row>
    <row r="95" spans="1:11" ht="18.75">
      <c r="A95" s="86">
        <v>2</v>
      </c>
      <c r="B95" s="86" t="s">
        <v>517</v>
      </c>
      <c r="C95" s="86">
        <v>6</v>
      </c>
      <c r="D95" s="86" t="s">
        <v>425</v>
      </c>
      <c r="E95" s="86">
        <v>4</v>
      </c>
      <c r="F95" s="86" t="s">
        <v>425</v>
      </c>
      <c r="G95" s="86">
        <v>2</v>
      </c>
      <c r="H95" s="91">
        <v>0.3</v>
      </c>
      <c r="I95" s="91">
        <v>6.5</v>
      </c>
      <c r="J95" s="91">
        <f t="shared" ref="J95:J117" si="14">I95*H95*G95*E95*C95</f>
        <v>93.6</v>
      </c>
      <c r="K95" s="86"/>
    </row>
    <row r="96" spans="1:11" ht="18.75">
      <c r="A96" s="86"/>
      <c r="B96" s="86"/>
      <c r="C96" s="86">
        <v>6</v>
      </c>
      <c r="D96" s="86" t="s">
        <v>425</v>
      </c>
      <c r="E96" s="86">
        <v>4</v>
      </c>
      <c r="F96" s="86" t="s">
        <v>425</v>
      </c>
      <c r="G96" s="86">
        <v>2</v>
      </c>
      <c r="H96" s="91">
        <v>0.6</v>
      </c>
      <c r="I96" s="91">
        <v>6.5</v>
      </c>
      <c r="J96" s="91">
        <f t="shared" si="14"/>
        <v>187.2</v>
      </c>
      <c r="K96" s="86"/>
    </row>
    <row r="97" spans="1:11" ht="18.75">
      <c r="A97" s="86">
        <v>3</v>
      </c>
      <c r="B97" s="86" t="s">
        <v>518</v>
      </c>
      <c r="C97" s="86">
        <v>6</v>
      </c>
      <c r="D97" s="86" t="s">
        <v>425</v>
      </c>
      <c r="E97" s="86">
        <v>4</v>
      </c>
      <c r="F97" s="86" t="s">
        <v>425</v>
      </c>
      <c r="G97" s="86">
        <v>2</v>
      </c>
      <c r="H97" s="91">
        <v>0.3</v>
      </c>
      <c r="I97" s="91">
        <v>4.5</v>
      </c>
      <c r="J97" s="91">
        <f t="shared" si="14"/>
        <v>64.8</v>
      </c>
      <c r="K97" s="86"/>
    </row>
    <row r="98" spans="1:11" ht="18.75">
      <c r="A98" s="86"/>
      <c r="B98" s="86"/>
      <c r="C98" s="86">
        <v>6</v>
      </c>
      <c r="D98" s="86" t="s">
        <v>425</v>
      </c>
      <c r="E98" s="86">
        <v>4</v>
      </c>
      <c r="F98" s="86" t="s">
        <v>425</v>
      </c>
      <c r="G98" s="86">
        <v>2</v>
      </c>
      <c r="H98" s="91">
        <v>0.6</v>
      </c>
      <c r="I98" s="91">
        <v>4.5</v>
      </c>
      <c r="J98" s="91">
        <f t="shared" si="14"/>
        <v>129.6</v>
      </c>
      <c r="K98" s="86"/>
    </row>
    <row r="99" spans="1:11" ht="18.75">
      <c r="A99" s="86">
        <v>4</v>
      </c>
      <c r="B99" s="86" t="s">
        <v>519</v>
      </c>
      <c r="C99" s="86">
        <v>6</v>
      </c>
      <c r="D99" s="86" t="s">
        <v>425</v>
      </c>
      <c r="E99" s="86">
        <v>4</v>
      </c>
      <c r="F99" s="86" t="s">
        <v>425</v>
      </c>
      <c r="G99" s="86">
        <v>2</v>
      </c>
      <c r="H99" s="91">
        <v>0.3</v>
      </c>
      <c r="I99" s="91">
        <v>1.5</v>
      </c>
      <c r="J99" s="91">
        <f t="shared" si="14"/>
        <v>21.599999999999998</v>
      </c>
      <c r="K99" s="86"/>
    </row>
    <row r="100" spans="1:11" ht="18.75">
      <c r="A100" s="86"/>
      <c r="B100" s="86"/>
      <c r="C100" s="86">
        <v>6</v>
      </c>
      <c r="D100" s="86" t="s">
        <v>425</v>
      </c>
      <c r="E100" s="86">
        <v>4</v>
      </c>
      <c r="F100" s="86" t="s">
        <v>425</v>
      </c>
      <c r="G100" s="86">
        <v>2</v>
      </c>
      <c r="H100" s="91">
        <v>0.6</v>
      </c>
      <c r="I100" s="91">
        <v>1.5</v>
      </c>
      <c r="J100" s="91">
        <f t="shared" si="14"/>
        <v>43.199999999999996</v>
      </c>
      <c r="K100" s="86"/>
    </row>
    <row r="101" spans="1:11" ht="18.75">
      <c r="A101" s="87">
        <v>5</v>
      </c>
      <c r="B101" s="87" t="s">
        <v>520</v>
      </c>
      <c r="C101" s="87">
        <v>1</v>
      </c>
      <c r="D101" s="86" t="s">
        <v>425</v>
      </c>
      <c r="E101" s="87">
        <v>1</v>
      </c>
      <c r="F101" s="86" t="s">
        <v>425</v>
      </c>
      <c r="G101" s="87">
        <v>3.14</v>
      </c>
      <c r="H101" s="88">
        <v>14</v>
      </c>
      <c r="I101" s="87">
        <f>0.73+0.5+0.55</f>
        <v>1.78</v>
      </c>
      <c r="J101" s="91">
        <f t="shared" si="14"/>
        <v>78.248800000000003</v>
      </c>
      <c r="K101" s="47"/>
    </row>
    <row r="102" spans="1:11" ht="18.75">
      <c r="A102" s="87">
        <v>6</v>
      </c>
      <c r="B102" s="87" t="s">
        <v>521</v>
      </c>
      <c r="C102" s="87">
        <v>1</v>
      </c>
      <c r="D102" s="86" t="s">
        <v>425</v>
      </c>
      <c r="E102" s="87">
        <v>1</v>
      </c>
      <c r="F102" s="86" t="s">
        <v>425</v>
      </c>
      <c r="G102" s="87">
        <v>3.14</v>
      </c>
      <c r="H102" s="88">
        <v>10</v>
      </c>
      <c r="I102" s="87">
        <f>0.55+0.5+0.74</f>
        <v>1.79</v>
      </c>
      <c r="J102" s="91">
        <f t="shared" si="14"/>
        <v>56.205999999999996</v>
      </c>
      <c r="K102" s="47" t="s">
        <v>425</v>
      </c>
    </row>
    <row r="103" spans="1:11" ht="18.75">
      <c r="A103" s="87">
        <v>7</v>
      </c>
      <c r="B103" s="87" t="s">
        <v>420</v>
      </c>
      <c r="C103" s="87">
        <v>1</v>
      </c>
      <c r="D103" s="86" t="s">
        <v>425</v>
      </c>
      <c r="E103" s="87">
        <v>2</v>
      </c>
      <c r="F103" s="86" t="s">
        <v>425</v>
      </c>
      <c r="G103" s="87">
        <v>3.14</v>
      </c>
      <c r="H103" s="88">
        <f>K103</f>
        <v>8.7580357142857146</v>
      </c>
      <c r="I103" s="88">
        <v>1.4</v>
      </c>
      <c r="J103" s="91">
        <f t="shared" si="14"/>
        <v>77.000650000000007</v>
      </c>
      <c r="K103" s="87">
        <f>((4.75)^2+(1.4)^2)/(2*1.4)</f>
        <v>8.7580357142857146</v>
      </c>
    </row>
    <row r="104" spans="1:11" ht="18.75">
      <c r="A104" s="87">
        <v>8</v>
      </c>
      <c r="B104" s="87" t="s">
        <v>603</v>
      </c>
      <c r="C104" s="87">
        <v>1</v>
      </c>
      <c r="D104" s="86" t="s">
        <v>425</v>
      </c>
      <c r="E104" s="87">
        <v>1</v>
      </c>
      <c r="F104" s="86" t="s">
        <v>425</v>
      </c>
      <c r="G104" s="87">
        <v>3.14</v>
      </c>
      <c r="H104" s="88">
        <v>12</v>
      </c>
      <c r="I104" s="88">
        <v>1.5</v>
      </c>
      <c r="J104" s="91">
        <f t="shared" si="14"/>
        <v>56.52</v>
      </c>
      <c r="K104" s="47"/>
    </row>
    <row r="105" spans="1:11" ht="18.75">
      <c r="A105" s="87">
        <v>9</v>
      </c>
      <c r="B105" s="87" t="s">
        <v>604</v>
      </c>
      <c r="C105" s="87">
        <v>1</v>
      </c>
      <c r="D105" s="86" t="s">
        <v>425</v>
      </c>
      <c r="E105" s="87">
        <v>1</v>
      </c>
      <c r="F105" s="86" t="s">
        <v>425</v>
      </c>
      <c r="G105" s="87">
        <v>3.14</v>
      </c>
      <c r="H105" s="88">
        <v>15.4</v>
      </c>
      <c r="I105" s="88">
        <v>0.9</v>
      </c>
      <c r="J105" s="91">
        <f t="shared" si="14"/>
        <v>43.520400000000002</v>
      </c>
      <c r="K105" s="47"/>
    </row>
    <row r="106" spans="1:11" ht="18.75">
      <c r="A106" s="87">
        <v>10</v>
      </c>
      <c r="B106" s="87" t="s">
        <v>605</v>
      </c>
      <c r="C106" s="87">
        <v>1</v>
      </c>
      <c r="D106" s="86" t="s">
        <v>425</v>
      </c>
      <c r="E106" s="87">
        <v>1</v>
      </c>
      <c r="F106" s="86" t="s">
        <v>425</v>
      </c>
      <c r="G106" s="87">
        <v>1</v>
      </c>
      <c r="H106" s="87">
        <f>3.14*14</f>
        <v>43.96</v>
      </c>
      <c r="I106" s="87">
        <v>4.43</v>
      </c>
      <c r="J106" s="91">
        <f t="shared" si="14"/>
        <v>194.74279999999999</v>
      </c>
      <c r="K106" s="47"/>
    </row>
    <row r="107" spans="1:11" ht="18.75">
      <c r="A107" s="87">
        <v>11</v>
      </c>
      <c r="B107" s="87" t="s">
        <v>606</v>
      </c>
      <c r="C107" s="87">
        <v>1</v>
      </c>
      <c r="D107" s="86" t="s">
        <v>425</v>
      </c>
      <c r="E107" s="87">
        <v>2</v>
      </c>
      <c r="F107" s="86" t="s">
        <v>425</v>
      </c>
      <c r="G107" s="87">
        <v>3.14</v>
      </c>
      <c r="H107" s="88">
        <f>K107</f>
        <v>8.7580357142857146</v>
      </c>
      <c r="I107" s="88">
        <v>1.4</v>
      </c>
      <c r="J107" s="91">
        <f t="shared" si="14"/>
        <v>77.000650000000007</v>
      </c>
      <c r="K107" s="87">
        <f>((4.75)^2+(1.4)^2)/(2*1.4)</f>
        <v>8.7580357142857146</v>
      </c>
    </row>
    <row r="108" spans="1:11" ht="18.75">
      <c r="A108" s="87">
        <v>12</v>
      </c>
      <c r="B108" s="87" t="s">
        <v>607</v>
      </c>
      <c r="C108" s="87">
        <v>1</v>
      </c>
      <c r="D108" s="86" t="s">
        <v>425</v>
      </c>
      <c r="E108" s="87">
        <v>1</v>
      </c>
      <c r="F108" s="86" t="s">
        <v>425</v>
      </c>
      <c r="G108" s="87">
        <v>3.14</v>
      </c>
      <c r="H108" s="88">
        <v>12</v>
      </c>
      <c r="I108" s="88">
        <v>2.2000000000000002</v>
      </c>
      <c r="J108" s="91">
        <f t="shared" si="14"/>
        <v>82.896000000000015</v>
      </c>
      <c r="K108" s="47"/>
    </row>
    <row r="109" spans="1:11" ht="18.75">
      <c r="A109" s="87">
        <v>13</v>
      </c>
      <c r="B109" s="87" t="s">
        <v>608</v>
      </c>
      <c r="C109" s="87">
        <v>1</v>
      </c>
      <c r="D109" s="86" t="s">
        <v>425</v>
      </c>
      <c r="E109" s="87">
        <v>6</v>
      </c>
      <c r="F109" s="86" t="s">
        <v>425</v>
      </c>
      <c r="G109" s="87">
        <v>4</v>
      </c>
      <c r="H109" s="88">
        <v>0.3</v>
      </c>
      <c r="I109" s="87">
        <v>4.43</v>
      </c>
      <c r="J109" s="91">
        <f t="shared" si="14"/>
        <v>31.896000000000001</v>
      </c>
      <c r="K109" s="47"/>
    </row>
    <row r="110" spans="1:11" ht="18.75">
      <c r="A110" s="87">
        <v>14</v>
      </c>
      <c r="B110" s="87" t="s">
        <v>522</v>
      </c>
      <c r="C110" s="87">
        <v>1</v>
      </c>
      <c r="D110" s="86" t="s">
        <v>425</v>
      </c>
      <c r="E110" s="87">
        <v>1</v>
      </c>
      <c r="F110" s="86" t="s">
        <v>425</v>
      </c>
      <c r="G110" s="87">
        <v>3.14</v>
      </c>
      <c r="H110" s="88">
        <v>16.3</v>
      </c>
      <c r="I110" s="88">
        <v>0.12</v>
      </c>
      <c r="J110" s="91">
        <f t="shared" si="14"/>
        <v>6.1418400000000002</v>
      </c>
      <c r="K110" s="47"/>
    </row>
    <row r="111" spans="1:11" ht="18.75">
      <c r="A111" s="87">
        <v>15</v>
      </c>
      <c r="B111" s="87" t="s">
        <v>523</v>
      </c>
      <c r="C111" s="87">
        <v>1</v>
      </c>
      <c r="D111" s="86" t="s">
        <v>425</v>
      </c>
      <c r="E111" s="87">
        <v>1</v>
      </c>
      <c r="F111" s="86" t="s">
        <v>425</v>
      </c>
      <c r="G111" s="87">
        <v>3.14</v>
      </c>
      <c r="H111" s="88">
        <v>15.4</v>
      </c>
      <c r="I111" s="88">
        <v>0.9</v>
      </c>
      <c r="J111" s="91">
        <f t="shared" si="14"/>
        <v>43.520400000000002</v>
      </c>
      <c r="K111" s="47"/>
    </row>
    <row r="112" spans="1:11" ht="18.75">
      <c r="A112" s="87">
        <v>16</v>
      </c>
      <c r="B112" s="87" t="s">
        <v>524</v>
      </c>
      <c r="C112" s="87">
        <v>1</v>
      </c>
      <c r="D112" s="86" t="s">
        <v>425</v>
      </c>
      <c r="E112" s="87">
        <v>1</v>
      </c>
      <c r="F112" s="86" t="s">
        <v>425</v>
      </c>
      <c r="G112" s="87">
        <v>1</v>
      </c>
      <c r="H112" s="87">
        <f>3.14*14.5</f>
        <v>45.53</v>
      </c>
      <c r="I112" s="87">
        <v>4.55</v>
      </c>
      <c r="J112" s="91">
        <f t="shared" si="14"/>
        <v>207.16149999999999</v>
      </c>
      <c r="K112" s="47"/>
    </row>
    <row r="113" spans="1:12" ht="18.75">
      <c r="A113" s="87">
        <v>17</v>
      </c>
      <c r="B113" s="87" t="s">
        <v>525</v>
      </c>
      <c r="C113" s="87">
        <v>1</v>
      </c>
      <c r="D113" s="86" t="s">
        <v>425</v>
      </c>
      <c r="E113" s="87">
        <v>1</v>
      </c>
      <c r="F113" s="86" t="s">
        <v>425</v>
      </c>
      <c r="G113" s="87">
        <v>3.14</v>
      </c>
      <c r="H113" s="88">
        <v>10</v>
      </c>
      <c r="I113" s="88">
        <f>0.3+0.3+0.3</f>
        <v>0.89999999999999991</v>
      </c>
      <c r="J113" s="91">
        <f t="shared" si="14"/>
        <v>28.26</v>
      </c>
      <c r="K113" s="47"/>
    </row>
    <row r="114" spans="1:12" ht="18.75">
      <c r="A114" s="87">
        <v>18</v>
      </c>
      <c r="B114" s="87" t="s">
        <v>526</v>
      </c>
      <c r="C114" s="87">
        <v>1</v>
      </c>
      <c r="D114" s="86" t="s">
        <v>425</v>
      </c>
      <c r="E114" s="87">
        <v>1</v>
      </c>
      <c r="F114" s="86" t="s">
        <v>425</v>
      </c>
      <c r="G114" s="87">
        <v>1</v>
      </c>
      <c r="H114" s="87">
        <f>3.14*12</f>
        <v>37.68</v>
      </c>
      <c r="I114" s="88">
        <v>2.5</v>
      </c>
      <c r="J114" s="91">
        <f t="shared" si="14"/>
        <v>94.2</v>
      </c>
      <c r="K114" s="47"/>
    </row>
    <row r="115" spans="1:12" ht="18.75">
      <c r="A115" s="87">
        <v>19</v>
      </c>
      <c r="B115" s="87" t="s">
        <v>527</v>
      </c>
      <c r="C115" s="87">
        <v>1</v>
      </c>
      <c r="D115" s="86" t="s">
        <v>425</v>
      </c>
      <c r="E115" s="87">
        <v>1</v>
      </c>
      <c r="F115" s="86" t="s">
        <v>425</v>
      </c>
      <c r="G115" s="87">
        <v>1</v>
      </c>
      <c r="H115" s="88">
        <v>77</v>
      </c>
      <c r="I115" s="87">
        <v>1</v>
      </c>
      <c r="J115" s="91">
        <f t="shared" si="14"/>
        <v>77</v>
      </c>
      <c r="K115" s="47"/>
    </row>
    <row r="116" spans="1:12" ht="18.75">
      <c r="A116" s="87">
        <v>20</v>
      </c>
      <c r="B116" s="87" t="s">
        <v>528</v>
      </c>
      <c r="C116" s="87">
        <v>1</v>
      </c>
      <c r="D116" s="86" t="s">
        <v>425</v>
      </c>
      <c r="E116" s="87">
        <v>1</v>
      </c>
      <c r="F116" s="86" t="s">
        <v>425</v>
      </c>
      <c r="G116" s="87">
        <v>1</v>
      </c>
      <c r="H116" s="87">
        <f>3.14*12</f>
        <v>37.68</v>
      </c>
      <c r="I116" s="88">
        <v>2.5</v>
      </c>
      <c r="J116" s="91">
        <f t="shared" si="14"/>
        <v>94.2</v>
      </c>
      <c r="K116" s="47"/>
    </row>
    <row r="117" spans="1:12" ht="18.75">
      <c r="A117" s="87">
        <v>21</v>
      </c>
      <c r="B117" s="87" t="s">
        <v>529</v>
      </c>
      <c r="C117" s="87">
        <v>1</v>
      </c>
      <c r="D117" s="86" t="s">
        <v>425</v>
      </c>
      <c r="E117" s="87">
        <v>1</v>
      </c>
      <c r="F117" s="86" t="s">
        <v>425</v>
      </c>
      <c r="G117" s="87">
        <v>1</v>
      </c>
      <c r="H117" s="88">
        <v>77</v>
      </c>
      <c r="I117" s="87">
        <v>1</v>
      </c>
      <c r="J117" s="91">
        <f t="shared" si="14"/>
        <v>77</v>
      </c>
      <c r="K117" s="47"/>
    </row>
    <row r="118" spans="1:12" ht="21">
      <c r="A118" s="4"/>
      <c r="B118" s="4"/>
      <c r="C118" s="4"/>
      <c r="D118" s="4"/>
      <c r="E118" s="4"/>
      <c r="F118" s="4"/>
      <c r="G118" s="4"/>
      <c r="H118" s="296" t="s">
        <v>530</v>
      </c>
      <c r="I118" s="297"/>
      <c r="J118" s="74">
        <f>SUM(J94:J117)</f>
        <v>2225.5150399999998</v>
      </c>
      <c r="K118" s="4"/>
    </row>
    <row r="119" spans="1:12">
      <c r="L119" s="12">
        <f>J118+J220</f>
        <v>2657.6385399999999</v>
      </c>
    </row>
    <row r="120" spans="1:12" ht="26.25">
      <c r="A120" s="286" t="s">
        <v>531</v>
      </c>
      <c r="B120" s="286"/>
      <c r="C120" s="286"/>
      <c r="D120" s="286"/>
      <c r="E120" s="286"/>
      <c r="F120" s="286"/>
      <c r="G120" s="286"/>
      <c r="H120" s="286"/>
      <c r="I120" s="286"/>
      <c r="J120" s="286"/>
      <c r="K120" s="286"/>
    </row>
    <row r="121" spans="1:12" ht="18.75">
      <c r="A121" s="43" t="s">
        <v>0</v>
      </c>
      <c r="B121" s="43" t="s">
        <v>417</v>
      </c>
      <c r="C121" s="288" t="s">
        <v>28</v>
      </c>
      <c r="D121" s="289"/>
      <c r="E121" s="289"/>
      <c r="F121" s="289"/>
      <c r="G121" s="290"/>
      <c r="H121" s="43" t="s">
        <v>3</v>
      </c>
      <c r="I121" s="43" t="s">
        <v>4</v>
      </c>
      <c r="J121" s="43" t="s">
        <v>418</v>
      </c>
      <c r="K121" s="43" t="s">
        <v>238</v>
      </c>
    </row>
    <row r="122" spans="1:12" ht="18.75">
      <c r="A122" s="298">
        <v>1</v>
      </c>
      <c r="B122" s="301" t="s">
        <v>532</v>
      </c>
      <c r="C122" s="87">
        <v>1</v>
      </c>
      <c r="D122" s="87" t="s">
        <v>425</v>
      </c>
      <c r="E122" s="87">
        <v>2</v>
      </c>
      <c r="F122" s="87" t="s">
        <v>425</v>
      </c>
      <c r="G122" s="87">
        <v>2</v>
      </c>
      <c r="H122" s="87">
        <v>4.3550000000000004</v>
      </c>
      <c r="I122" s="87">
        <v>0.23</v>
      </c>
      <c r="J122" s="88">
        <f>I122*H122*G122*E122*C122</f>
        <v>4.0066000000000006</v>
      </c>
      <c r="K122" s="44"/>
    </row>
    <row r="123" spans="1:12" ht="18.75">
      <c r="A123" s="299"/>
      <c r="B123" s="302"/>
      <c r="C123" s="87">
        <v>1</v>
      </c>
      <c r="D123" s="87" t="s">
        <v>425</v>
      </c>
      <c r="E123" s="87">
        <v>2</v>
      </c>
      <c r="F123" s="87" t="s">
        <v>425</v>
      </c>
      <c r="G123" s="87">
        <v>2</v>
      </c>
      <c r="H123" s="87">
        <v>4.3550000000000004</v>
      </c>
      <c r="I123" s="87">
        <v>0.45</v>
      </c>
      <c r="J123" s="88">
        <f>I123*H123*G123*E123*C123</f>
        <v>7.8390000000000013</v>
      </c>
      <c r="K123" s="44"/>
    </row>
    <row r="124" spans="1:12" ht="18.75">
      <c r="A124" s="299"/>
      <c r="B124" s="302"/>
      <c r="C124" s="87">
        <v>1</v>
      </c>
      <c r="D124" s="87" t="s">
        <v>425</v>
      </c>
      <c r="E124" s="87">
        <v>2</v>
      </c>
      <c r="F124" s="87" t="s">
        <v>425</v>
      </c>
      <c r="G124" s="87">
        <v>2</v>
      </c>
      <c r="H124" s="87">
        <v>3.16</v>
      </c>
      <c r="I124" s="87">
        <v>0.23</v>
      </c>
      <c r="J124" s="88">
        <f t="shared" ref="J124:J137" si="15">I124*H124*G124*E124*C124</f>
        <v>2.9072000000000005</v>
      </c>
      <c r="K124" s="44"/>
    </row>
    <row r="125" spans="1:12" ht="18.75">
      <c r="A125" s="300"/>
      <c r="B125" s="303"/>
      <c r="C125" s="87">
        <v>1</v>
      </c>
      <c r="D125" s="87" t="s">
        <v>425</v>
      </c>
      <c r="E125" s="87">
        <v>2</v>
      </c>
      <c r="F125" s="87" t="s">
        <v>425</v>
      </c>
      <c r="G125" s="87">
        <v>2</v>
      </c>
      <c r="H125" s="87">
        <v>3.16</v>
      </c>
      <c r="I125" s="87">
        <v>0.45</v>
      </c>
      <c r="J125" s="88">
        <f t="shared" si="15"/>
        <v>5.6880000000000006</v>
      </c>
      <c r="K125" s="44"/>
    </row>
    <row r="126" spans="1:12" ht="18.75">
      <c r="A126" s="301">
        <v>2</v>
      </c>
      <c r="B126" s="301" t="s">
        <v>533</v>
      </c>
      <c r="C126" s="87">
        <v>1</v>
      </c>
      <c r="D126" s="87" t="s">
        <v>425</v>
      </c>
      <c r="E126" s="87">
        <v>4</v>
      </c>
      <c r="F126" s="87" t="s">
        <v>425</v>
      </c>
      <c r="G126" s="87">
        <v>2</v>
      </c>
      <c r="H126" s="88">
        <v>20</v>
      </c>
      <c r="I126" s="88">
        <v>0.3</v>
      </c>
      <c r="J126" s="88">
        <f t="shared" si="15"/>
        <v>48</v>
      </c>
      <c r="K126" s="44"/>
    </row>
    <row r="127" spans="1:12" ht="18.75">
      <c r="A127" s="303"/>
      <c r="B127" s="303"/>
      <c r="C127" s="87">
        <v>1</v>
      </c>
      <c r="D127" s="87" t="s">
        <v>425</v>
      </c>
      <c r="E127" s="87">
        <v>4</v>
      </c>
      <c r="F127" s="87" t="s">
        <v>425</v>
      </c>
      <c r="G127" s="87">
        <v>2</v>
      </c>
      <c r="H127" s="88">
        <v>20</v>
      </c>
      <c r="I127" s="88">
        <v>0.45</v>
      </c>
      <c r="J127" s="88">
        <f t="shared" si="15"/>
        <v>72</v>
      </c>
      <c r="K127" s="44"/>
    </row>
    <row r="128" spans="1:12" ht="18.75">
      <c r="A128" s="92">
        <v>3</v>
      </c>
      <c r="B128" s="93" t="s">
        <v>534</v>
      </c>
      <c r="C128" s="87"/>
      <c r="D128" s="87"/>
      <c r="E128" s="87"/>
      <c r="F128" s="87"/>
      <c r="G128" s="87"/>
      <c r="H128" s="88"/>
      <c r="I128" s="88"/>
      <c r="J128" s="88"/>
      <c r="K128" s="44"/>
    </row>
    <row r="129" spans="1:11" ht="18.75">
      <c r="A129" s="92">
        <v>4</v>
      </c>
      <c r="B129" s="87" t="s">
        <v>535</v>
      </c>
      <c r="C129" s="87">
        <v>1</v>
      </c>
      <c r="D129" s="87" t="s">
        <v>425</v>
      </c>
      <c r="E129" s="87">
        <v>1</v>
      </c>
      <c r="F129" s="87" t="s">
        <v>425</v>
      </c>
      <c r="G129" s="87">
        <v>1</v>
      </c>
      <c r="H129" s="88">
        <v>4.3499999999999996</v>
      </c>
      <c r="I129" s="88">
        <v>1.3</v>
      </c>
      <c r="J129" s="88">
        <f t="shared" si="15"/>
        <v>5.6549999999999994</v>
      </c>
      <c r="K129" s="44"/>
    </row>
    <row r="130" spans="1:11" ht="18.75">
      <c r="A130" s="92">
        <v>5</v>
      </c>
      <c r="B130" s="87" t="s">
        <v>536</v>
      </c>
      <c r="C130" s="87">
        <v>1</v>
      </c>
      <c r="D130" s="87" t="s">
        <v>425</v>
      </c>
      <c r="E130" s="87">
        <v>1</v>
      </c>
      <c r="F130" s="87" t="s">
        <v>425</v>
      </c>
      <c r="G130" s="87">
        <v>2</v>
      </c>
      <c r="H130" s="88">
        <v>4.3499999999999996</v>
      </c>
      <c r="I130" s="88">
        <v>0.22500000000000001</v>
      </c>
      <c r="J130" s="88">
        <f t="shared" si="15"/>
        <v>1.9574999999999998</v>
      </c>
      <c r="K130" s="44"/>
    </row>
    <row r="131" spans="1:11" ht="18.75">
      <c r="A131" s="301">
        <v>6</v>
      </c>
      <c r="B131" s="301" t="s">
        <v>537</v>
      </c>
      <c r="C131" s="87">
        <v>1</v>
      </c>
      <c r="D131" s="87" t="s">
        <v>425</v>
      </c>
      <c r="E131" s="87">
        <v>1</v>
      </c>
      <c r="F131" s="87" t="s">
        <v>425</v>
      </c>
      <c r="G131" s="87">
        <v>13</v>
      </c>
      <c r="H131" s="88">
        <v>1.3</v>
      </c>
      <c r="I131" s="88">
        <v>0.3</v>
      </c>
      <c r="J131" s="88">
        <f t="shared" si="15"/>
        <v>5.07</v>
      </c>
      <c r="K131" s="44"/>
    </row>
    <row r="132" spans="1:11" ht="18.75">
      <c r="A132" s="303"/>
      <c r="B132" s="303"/>
      <c r="C132" s="87">
        <v>1</v>
      </c>
      <c r="D132" s="87" t="s">
        <v>425</v>
      </c>
      <c r="E132" s="87">
        <v>1</v>
      </c>
      <c r="F132" s="87" t="s">
        <v>425</v>
      </c>
      <c r="G132" s="87">
        <v>13</v>
      </c>
      <c r="H132" s="88">
        <v>1.3</v>
      </c>
      <c r="I132" s="88">
        <v>0.15</v>
      </c>
      <c r="J132" s="88">
        <f t="shared" si="15"/>
        <v>2.5350000000000001</v>
      </c>
      <c r="K132" s="44"/>
    </row>
    <row r="133" spans="1:11" ht="18.75">
      <c r="A133" s="87">
        <v>7</v>
      </c>
      <c r="B133" s="87" t="s">
        <v>538</v>
      </c>
      <c r="C133" s="87">
        <v>1</v>
      </c>
      <c r="D133" s="87" t="s">
        <v>425</v>
      </c>
      <c r="E133" s="87">
        <v>1</v>
      </c>
      <c r="F133" s="87" t="s">
        <v>425</v>
      </c>
      <c r="G133" s="87">
        <v>1</v>
      </c>
      <c r="H133" s="88">
        <v>2.56</v>
      </c>
      <c r="I133" s="88">
        <f>0.3+0.23+0.3</f>
        <v>0.83000000000000007</v>
      </c>
      <c r="J133" s="88">
        <f t="shared" si="15"/>
        <v>2.1248</v>
      </c>
      <c r="K133" s="44"/>
    </row>
    <row r="134" spans="1:11" ht="18.75">
      <c r="A134" s="87">
        <v>8</v>
      </c>
      <c r="B134" s="87" t="s">
        <v>539</v>
      </c>
      <c r="C134" s="87">
        <v>1</v>
      </c>
      <c r="D134" s="87" t="s">
        <v>425</v>
      </c>
      <c r="E134" s="87">
        <v>2</v>
      </c>
      <c r="F134" s="87" t="s">
        <v>425</v>
      </c>
      <c r="G134" s="87">
        <v>2</v>
      </c>
      <c r="H134" s="88">
        <v>0.9</v>
      </c>
      <c r="I134" s="88">
        <f>0.3+0.23+0.3</f>
        <v>0.83000000000000007</v>
      </c>
      <c r="J134" s="88">
        <f t="shared" si="15"/>
        <v>2.9880000000000004</v>
      </c>
      <c r="K134" s="44"/>
    </row>
    <row r="135" spans="1:11" ht="18.75">
      <c r="A135" s="87">
        <v>9</v>
      </c>
      <c r="B135" s="87" t="s">
        <v>540</v>
      </c>
      <c r="C135" s="87">
        <v>1</v>
      </c>
      <c r="D135" s="87" t="s">
        <v>425</v>
      </c>
      <c r="E135" s="87">
        <v>1</v>
      </c>
      <c r="F135" s="87" t="s">
        <v>425</v>
      </c>
      <c r="G135" s="87">
        <v>1</v>
      </c>
      <c r="H135" s="88">
        <v>3.16</v>
      </c>
      <c r="I135" s="88">
        <v>0.9</v>
      </c>
      <c r="J135" s="88">
        <f t="shared" si="15"/>
        <v>2.8440000000000003</v>
      </c>
      <c r="K135" s="44"/>
    </row>
    <row r="136" spans="1:11" ht="18.75">
      <c r="A136" s="87">
        <v>10</v>
      </c>
      <c r="B136" s="87" t="s">
        <v>541</v>
      </c>
      <c r="C136" s="87">
        <v>1</v>
      </c>
      <c r="D136" s="87" t="s">
        <v>425</v>
      </c>
      <c r="E136" s="87">
        <v>1</v>
      </c>
      <c r="F136" s="87" t="s">
        <v>425</v>
      </c>
      <c r="G136" s="87">
        <v>1</v>
      </c>
      <c r="H136" s="88">
        <v>5.16</v>
      </c>
      <c r="I136" s="88">
        <v>0.15</v>
      </c>
      <c r="J136" s="88">
        <f t="shared" si="15"/>
        <v>0.77400000000000002</v>
      </c>
      <c r="K136" s="44"/>
    </row>
    <row r="137" spans="1:11" ht="18.75">
      <c r="A137" s="87">
        <v>11</v>
      </c>
      <c r="B137" s="87" t="s">
        <v>542</v>
      </c>
      <c r="C137" s="87">
        <v>1</v>
      </c>
      <c r="D137" s="87" t="s">
        <v>425</v>
      </c>
      <c r="E137" s="87">
        <v>1</v>
      </c>
      <c r="F137" s="87" t="s">
        <v>425</v>
      </c>
      <c r="G137" s="87">
        <v>1</v>
      </c>
      <c r="H137" s="88">
        <v>3.16</v>
      </c>
      <c r="I137" s="88">
        <v>1</v>
      </c>
      <c r="J137" s="88">
        <f t="shared" si="15"/>
        <v>3.16</v>
      </c>
      <c r="K137" s="44"/>
    </row>
    <row r="138" spans="1:11" ht="18.75">
      <c r="A138" s="87">
        <v>12</v>
      </c>
      <c r="B138" s="94" t="s">
        <v>543</v>
      </c>
      <c r="C138" s="87"/>
      <c r="D138" s="87"/>
      <c r="E138" s="87"/>
      <c r="F138" s="87"/>
      <c r="G138" s="87"/>
      <c r="H138" s="88"/>
      <c r="I138" s="88"/>
      <c r="J138" s="88"/>
      <c r="K138" s="44"/>
    </row>
    <row r="139" spans="1:11" ht="18.75">
      <c r="A139" s="87">
        <v>13</v>
      </c>
      <c r="B139" s="95" t="s">
        <v>544</v>
      </c>
      <c r="C139" s="87">
        <v>1</v>
      </c>
      <c r="D139" s="87" t="s">
        <v>425</v>
      </c>
      <c r="E139" s="87">
        <v>1</v>
      </c>
      <c r="F139" s="87" t="s">
        <v>425</v>
      </c>
      <c r="G139" s="87">
        <v>2</v>
      </c>
      <c r="H139" s="88">
        <v>5.125</v>
      </c>
      <c r="I139" s="88">
        <f>0.45+0.23+0.45+0.23</f>
        <v>1.36</v>
      </c>
      <c r="J139" s="88">
        <f>I139*H139*G139*E139*C139</f>
        <v>13.940000000000001</v>
      </c>
      <c r="K139" s="44"/>
    </row>
    <row r="140" spans="1:11" ht="18.75">
      <c r="A140" s="87">
        <v>14</v>
      </c>
      <c r="B140" s="87" t="s">
        <v>545</v>
      </c>
      <c r="C140" s="87">
        <v>1</v>
      </c>
      <c r="D140" s="87" t="s">
        <v>425</v>
      </c>
      <c r="E140" s="87">
        <v>1</v>
      </c>
      <c r="F140" s="87" t="s">
        <v>425</v>
      </c>
      <c r="G140" s="87">
        <v>1</v>
      </c>
      <c r="H140" s="88">
        <v>2.56</v>
      </c>
      <c r="I140" s="88">
        <f>0.3+0.23+0.3</f>
        <v>0.83000000000000007</v>
      </c>
      <c r="J140" s="88">
        <f>I140*H140*G140*E140*C140</f>
        <v>2.1248</v>
      </c>
      <c r="K140" s="44"/>
    </row>
    <row r="141" spans="1:11" ht="18.75">
      <c r="A141" s="87">
        <v>15</v>
      </c>
      <c r="B141" s="87" t="s">
        <v>546</v>
      </c>
      <c r="C141" s="87">
        <v>1</v>
      </c>
      <c r="D141" s="87" t="s">
        <v>425</v>
      </c>
      <c r="E141" s="87">
        <v>1</v>
      </c>
      <c r="F141" s="87" t="s">
        <v>425</v>
      </c>
      <c r="G141" s="87">
        <v>1</v>
      </c>
      <c r="H141" s="88">
        <v>4.3499999999999996</v>
      </c>
      <c r="I141" s="88">
        <v>1.3</v>
      </c>
      <c r="J141" s="88">
        <f t="shared" ref="J141:J147" si="16">I141*H141*G141*E141*C141</f>
        <v>5.6549999999999994</v>
      </c>
      <c r="K141" s="44"/>
    </row>
    <row r="142" spans="1:11" ht="18.75">
      <c r="A142" s="87">
        <v>16</v>
      </c>
      <c r="B142" s="87" t="s">
        <v>547</v>
      </c>
      <c r="C142" s="87">
        <v>1</v>
      </c>
      <c r="D142" s="87" t="s">
        <v>425</v>
      </c>
      <c r="E142" s="87">
        <v>1</v>
      </c>
      <c r="F142" s="87" t="s">
        <v>425</v>
      </c>
      <c r="G142" s="87">
        <v>2</v>
      </c>
      <c r="H142" s="88">
        <v>4.3499999999999996</v>
      </c>
      <c r="I142" s="88">
        <v>0.22500000000000001</v>
      </c>
      <c r="J142" s="88">
        <f t="shared" si="16"/>
        <v>1.9574999999999998</v>
      </c>
      <c r="K142" s="44"/>
    </row>
    <row r="143" spans="1:11" ht="18.75">
      <c r="A143" s="301">
        <v>17</v>
      </c>
      <c r="B143" s="301" t="s">
        <v>548</v>
      </c>
      <c r="C143" s="87">
        <v>1</v>
      </c>
      <c r="D143" s="87" t="s">
        <v>425</v>
      </c>
      <c r="E143" s="87">
        <v>1</v>
      </c>
      <c r="F143" s="87" t="s">
        <v>425</v>
      </c>
      <c r="G143" s="87">
        <v>13</v>
      </c>
      <c r="H143" s="88">
        <v>1.3</v>
      </c>
      <c r="I143" s="88">
        <v>0.3</v>
      </c>
      <c r="J143" s="88">
        <f t="shared" si="16"/>
        <v>5.07</v>
      </c>
      <c r="K143" s="44"/>
    </row>
    <row r="144" spans="1:11" ht="18.75">
      <c r="A144" s="303"/>
      <c r="B144" s="303"/>
      <c r="C144" s="87">
        <v>1</v>
      </c>
      <c r="D144" s="87" t="s">
        <v>425</v>
      </c>
      <c r="E144" s="87">
        <v>1</v>
      </c>
      <c r="F144" s="87" t="s">
        <v>425</v>
      </c>
      <c r="G144" s="87">
        <v>13</v>
      </c>
      <c r="H144" s="88">
        <v>1.3</v>
      </c>
      <c r="I144" s="88">
        <v>0.15</v>
      </c>
      <c r="J144" s="88">
        <f t="shared" si="16"/>
        <v>2.5350000000000001</v>
      </c>
      <c r="K144" s="44"/>
    </row>
    <row r="145" spans="1:11" ht="18.75">
      <c r="A145" s="87">
        <v>18</v>
      </c>
      <c r="B145" s="87" t="s">
        <v>549</v>
      </c>
      <c r="C145" s="87">
        <v>1</v>
      </c>
      <c r="D145" s="87" t="s">
        <v>425</v>
      </c>
      <c r="E145" s="87">
        <v>1</v>
      </c>
      <c r="F145" s="87" t="s">
        <v>425</v>
      </c>
      <c r="G145" s="87">
        <v>1</v>
      </c>
      <c r="H145" s="88">
        <v>3.16</v>
      </c>
      <c r="I145" s="88">
        <v>0.9</v>
      </c>
      <c r="J145" s="88">
        <f t="shared" si="16"/>
        <v>2.8440000000000003</v>
      </c>
      <c r="K145" s="44"/>
    </row>
    <row r="146" spans="1:11" ht="18.75">
      <c r="A146" s="87">
        <v>19</v>
      </c>
      <c r="B146" s="87" t="s">
        <v>550</v>
      </c>
      <c r="C146" s="87">
        <v>1</v>
      </c>
      <c r="D146" s="87" t="s">
        <v>425</v>
      </c>
      <c r="E146" s="87">
        <v>1</v>
      </c>
      <c r="F146" s="87" t="s">
        <v>425</v>
      </c>
      <c r="G146" s="87">
        <v>1</v>
      </c>
      <c r="H146" s="88">
        <v>5.16</v>
      </c>
      <c r="I146" s="88">
        <v>0.15</v>
      </c>
      <c r="J146" s="88">
        <f t="shared" si="16"/>
        <v>0.77400000000000002</v>
      </c>
      <c r="K146" s="44"/>
    </row>
    <row r="147" spans="1:11" ht="18.75">
      <c r="A147" s="87">
        <v>20</v>
      </c>
      <c r="B147" s="87" t="s">
        <v>551</v>
      </c>
      <c r="C147" s="87">
        <v>1</v>
      </c>
      <c r="D147" s="87" t="s">
        <v>425</v>
      </c>
      <c r="E147" s="87">
        <v>1</v>
      </c>
      <c r="F147" s="87" t="s">
        <v>425</v>
      </c>
      <c r="G147" s="87">
        <v>1</v>
      </c>
      <c r="H147" s="88">
        <v>3.16</v>
      </c>
      <c r="I147" s="88">
        <v>1</v>
      </c>
      <c r="J147" s="88">
        <f t="shared" si="16"/>
        <v>3.16</v>
      </c>
      <c r="K147" s="44"/>
    </row>
    <row r="148" spans="1:11" ht="18.75">
      <c r="A148" s="87">
        <v>21</v>
      </c>
      <c r="B148" s="93" t="s">
        <v>552</v>
      </c>
      <c r="C148" s="87"/>
      <c r="D148" s="87"/>
      <c r="E148" s="87"/>
      <c r="F148" s="87"/>
      <c r="G148" s="87"/>
      <c r="H148" s="88"/>
      <c r="I148" s="88"/>
      <c r="J148" s="88"/>
      <c r="K148" s="44"/>
    </row>
    <row r="149" spans="1:11" ht="18.75">
      <c r="A149" s="87">
        <v>22</v>
      </c>
      <c r="B149" s="87" t="s">
        <v>553</v>
      </c>
      <c r="C149" s="87">
        <v>1</v>
      </c>
      <c r="D149" s="87" t="s">
        <v>425</v>
      </c>
      <c r="E149" s="87">
        <v>1</v>
      </c>
      <c r="F149" s="87" t="s">
        <v>425</v>
      </c>
      <c r="G149" s="87">
        <v>1</v>
      </c>
      <c r="H149" s="88">
        <v>4.3499999999999996</v>
      </c>
      <c r="I149" s="88">
        <v>1.3</v>
      </c>
      <c r="J149" s="88">
        <f t="shared" ref="J149:J157" si="17">I149*H149*G149*E149*C149</f>
        <v>5.6549999999999994</v>
      </c>
      <c r="K149" s="44"/>
    </row>
    <row r="150" spans="1:11" ht="18.75">
      <c r="A150" s="87">
        <v>23</v>
      </c>
      <c r="B150" s="87" t="s">
        <v>554</v>
      </c>
      <c r="C150" s="87">
        <v>1</v>
      </c>
      <c r="D150" s="87" t="s">
        <v>425</v>
      </c>
      <c r="E150" s="87">
        <v>1</v>
      </c>
      <c r="F150" s="87" t="s">
        <v>425</v>
      </c>
      <c r="G150" s="87">
        <v>2</v>
      </c>
      <c r="H150" s="88">
        <v>4.3499999999999996</v>
      </c>
      <c r="I150" s="88">
        <v>0.22500000000000001</v>
      </c>
      <c r="J150" s="88">
        <f t="shared" si="17"/>
        <v>1.9574999999999998</v>
      </c>
      <c r="K150" s="44"/>
    </row>
    <row r="151" spans="1:11" ht="18.75">
      <c r="A151" s="301">
        <v>24</v>
      </c>
      <c r="B151" s="301" t="s">
        <v>555</v>
      </c>
      <c r="C151" s="87">
        <v>1</v>
      </c>
      <c r="D151" s="87" t="s">
        <v>425</v>
      </c>
      <c r="E151" s="87">
        <v>1</v>
      </c>
      <c r="F151" s="87" t="s">
        <v>425</v>
      </c>
      <c r="G151" s="87">
        <v>13</v>
      </c>
      <c r="H151" s="88">
        <v>1.3</v>
      </c>
      <c r="I151" s="88">
        <v>0.3</v>
      </c>
      <c r="J151" s="88">
        <f t="shared" si="17"/>
        <v>5.07</v>
      </c>
      <c r="K151" s="44"/>
    </row>
    <row r="152" spans="1:11" ht="18.75">
      <c r="A152" s="303"/>
      <c r="B152" s="303"/>
      <c r="C152" s="87">
        <v>1</v>
      </c>
      <c r="D152" s="87" t="s">
        <v>425</v>
      </c>
      <c r="E152" s="87">
        <v>1</v>
      </c>
      <c r="F152" s="87" t="s">
        <v>425</v>
      </c>
      <c r="G152" s="87">
        <v>13</v>
      </c>
      <c r="H152" s="88">
        <v>1.3</v>
      </c>
      <c r="I152" s="88">
        <v>0.15</v>
      </c>
      <c r="J152" s="88">
        <f t="shared" si="17"/>
        <v>2.5350000000000001</v>
      </c>
      <c r="K152" s="44"/>
    </row>
    <row r="153" spans="1:11" ht="18.75">
      <c r="A153" s="87">
        <v>25</v>
      </c>
      <c r="B153" s="87" t="s">
        <v>538</v>
      </c>
      <c r="C153" s="87">
        <v>1</v>
      </c>
      <c r="D153" s="87" t="s">
        <v>425</v>
      </c>
      <c r="E153" s="87">
        <v>1</v>
      </c>
      <c r="F153" s="87" t="s">
        <v>425</v>
      </c>
      <c r="G153" s="87">
        <v>1</v>
      </c>
      <c r="H153" s="88">
        <v>2.56</v>
      </c>
      <c r="I153" s="88">
        <f>0.3+0.23+0.3</f>
        <v>0.83000000000000007</v>
      </c>
      <c r="J153" s="88">
        <f t="shared" si="17"/>
        <v>2.1248</v>
      </c>
      <c r="K153" s="44"/>
    </row>
    <row r="154" spans="1:11" ht="18.75">
      <c r="A154" s="87">
        <v>26</v>
      </c>
      <c r="B154" s="87" t="s">
        <v>539</v>
      </c>
      <c r="C154" s="87">
        <v>1</v>
      </c>
      <c r="D154" s="87" t="s">
        <v>425</v>
      </c>
      <c r="E154" s="87">
        <v>2</v>
      </c>
      <c r="F154" s="87" t="s">
        <v>425</v>
      </c>
      <c r="G154" s="87">
        <v>2</v>
      </c>
      <c r="H154" s="88">
        <v>0.9</v>
      </c>
      <c r="I154" s="88">
        <f>0.3+0.23+0.3</f>
        <v>0.83000000000000007</v>
      </c>
      <c r="J154" s="88">
        <f t="shared" si="17"/>
        <v>2.9880000000000004</v>
      </c>
      <c r="K154" s="44"/>
    </row>
    <row r="155" spans="1:11" ht="18.75">
      <c r="A155" s="87">
        <v>27</v>
      </c>
      <c r="B155" s="87" t="s">
        <v>556</v>
      </c>
      <c r="C155" s="87">
        <v>1</v>
      </c>
      <c r="D155" s="87" t="s">
        <v>425</v>
      </c>
      <c r="E155" s="87">
        <v>1</v>
      </c>
      <c r="F155" s="87" t="s">
        <v>425</v>
      </c>
      <c r="G155" s="87">
        <v>1</v>
      </c>
      <c r="H155" s="88">
        <v>3.16</v>
      </c>
      <c r="I155" s="88">
        <v>0.9</v>
      </c>
      <c r="J155" s="88">
        <f t="shared" si="17"/>
        <v>2.8440000000000003</v>
      </c>
      <c r="K155" s="44"/>
    </row>
    <row r="156" spans="1:11" ht="18.75">
      <c r="A156" s="87">
        <v>28</v>
      </c>
      <c r="B156" s="87" t="s">
        <v>557</v>
      </c>
      <c r="C156" s="87">
        <v>1</v>
      </c>
      <c r="D156" s="87" t="s">
        <v>425</v>
      </c>
      <c r="E156" s="87">
        <v>1</v>
      </c>
      <c r="F156" s="87" t="s">
        <v>425</v>
      </c>
      <c r="G156" s="87">
        <v>1</v>
      </c>
      <c r="H156" s="88">
        <v>5.16</v>
      </c>
      <c r="I156" s="88">
        <v>0.15</v>
      </c>
      <c r="J156" s="88">
        <f t="shared" si="17"/>
        <v>0.77400000000000002</v>
      </c>
      <c r="K156" s="44"/>
    </row>
    <row r="157" spans="1:11" ht="18.75">
      <c r="A157" s="87">
        <v>29</v>
      </c>
      <c r="B157" s="87" t="s">
        <v>558</v>
      </c>
      <c r="C157" s="87">
        <v>1</v>
      </c>
      <c r="D157" s="87" t="s">
        <v>425</v>
      </c>
      <c r="E157" s="87">
        <v>1</v>
      </c>
      <c r="F157" s="87" t="s">
        <v>425</v>
      </c>
      <c r="G157" s="87">
        <v>1</v>
      </c>
      <c r="H157" s="88">
        <v>3.16</v>
      </c>
      <c r="I157" s="88">
        <v>1</v>
      </c>
      <c r="J157" s="88">
        <f t="shared" si="17"/>
        <v>3.16</v>
      </c>
      <c r="K157" s="44"/>
    </row>
    <row r="158" spans="1:11" ht="18.75">
      <c r="A158" s="87">
        <v>30</v>
      </c>
      <c r="B158" s="94" t="s">
        <v>559</v>
      </c>
      <c r="C158" s="87"/>
      <c r="D158" s="87"/>
      <c r="E158" s="87"/>
      <c r="F158" s="87"/>
      <c r="G158" s="87"/>
      <c r="H158" s="88"/>
      <c r="I158" s="88"/>
      <c r="J158" s="88"/>
      <c r="K158" s="44"/>
    </row>
    <row r="159" spans="1:11" ht="18.75">
      <c r="A159" s="87">
        <v>31</v>
      </c>
      <c r="B159" s="95" t="s">
        <v>544</v>
      </c>
      <c r="C159" s="87">
        <v>1</v>
      </c>
      <c r="D159" s="87" t="s">
        <v>425</v>
      </c>
      <c r="E159" s="87">
        <v>1</v>
      </c>
      <c r="F159" s="87" t="s">
        <v>425</v>
      </c>
      <c r="G159" s="87">
        <v>2</v>
      </c>
      <c r="H159" s="88">
        <v>5.125</v>
      </c>
      <c r="I159" s="88">
        <f>0.45+0.23+0.45+0.23</f>
        <v>1.36</v>
      </c>
      <c r="J159" s="88">
        <f>I159*H159*G159*E159*C159</f>
        <v>13.940000000000001</v>
      </c>
      <c r="K159" s="44"/>
    </row>
    <row r="160" spans="1:11" ht="18.75">
      <c r="A160" s="87">
        <v>32</v>
      </c>
      <c r="B160" s="87" t="s">
        <v>545</v>
      </c>
      <c r="C160" s="87">
        <v>1</v>
      </c>
      <c r="D160" s="87" t="s">
        <v>425</v>
      </c>
      <c r="E160" s="87">
        <v>1</v>
      </c>
      <c r="F160" s="87" t="s">
        <v>425</v>
      </c>
      <c r="G160" s="87">
        <v>1</v>
      </c>
      <c r="H160" s="88">
        <v>2.56</v>
      </c>
      <c r="I160" s="88">
        <f>0.3+0.23+0.3</f>
        <v>0.83000000000000007</v>
      </c>
      <c r="J160" s="88">
        <f>I160*H160*G160*E160*C160</f>
        <v>2.1248</v>
      </c>
      <c r="K160" s="44"/>
    </row>
    <row r="161" spans="1:11" ht="18.75">
      <c r="A161" s="87">
        <v>33</v>
      </c>
      <c r="B161" s="87" t="s">
        <v>560</v>
      </c>
      <c r="C161" s="87">
        <v>1</v>
      </c>
      <c r="D161" s="87" t="s">
        <v>425</v>
      </c>
      <c r="E161" s="87">
        <v>1</v>
      </c>
      <c r="F161" s="87" t="s">
        <v>425</v>
      </c>
      <c r="G161" s="87">
        <v>1</v>
      </c>
      <c r="H161" s="88">
        <v>4.3499999999999996</v>
      </c>
      <c r="I161" s="88">
        <v>1.3</v>
      </c>
      <c r="J161" s="88">
        <f t="shared" ref="J161:J167" si="18">I161*H161*G161*E161*C161</f>
        <v>5.6549999999999994</v>
      </c>
      <c r="K161" s="44"/>
    </row>
    <row r="162" spans="1:11" ht="18.75">
      <c r="A162" s="87">
        <v>34</v>
      </c>
      <c r="B162" s="87" t="s">
        <v>561</v>
      </c>
      <c r="C162" s="87">
        <v>1</v>
      </c>
      <c r="D162" s="87" t="s">
        <v>425</v>
      </c>
      <c r="E162" s="87">
        <v>1</v>
      </c>
      <c r="F162" s="87" t="s">
        <v>425</v>
      </c>
      <c r="G162" s="87">
        <v>2</v>
      </c>
      <c r="H162" s="88">
        <v>4.3499999999999996</v>
      </c>
      <c r="I162" s="88">
        <v>0.22500000000000001</v>
      </c>
      <c r="J162" s="88">
        <f t="shared" si="18"/>
        <v>1.9574999999999998</v>
      </c>
      <c r="K162" s="44"/>
    </row>
    <row r="163" spans="1:11" ht="18.75">
      <c r="A163" s="301">
        <v>35</v>
      </c>
      <c r="B163" s="301" t="s">
        <v>562</v>
      </c>
      <c r="C163" s="87">
        <v>1</v>
      </c>
      <c r="D163" s="87" t="s">
        <v>425</v>
      </c>
      <c r="E163" s="87">
        <v>1</v>
      </c>
      <c r="F163" s="87" t="s">
        <v>425</v>
      </c>
      <c r="G163" s="87">
        <v>13</v>
      </c>
      <c r="H163" s="88">
        <v>1.3</v>
      </c>
      <c r="I163" s="88">
        <v>0.3</v>
      </c>
      <c r="J163" s="88">
        <f t="shared" si="18"/>
        <v>5.07</v>
      </c>
      <c r="K163" s="44"/>
    </row>
    <row r="164" spans="1:11" ht="18.75">
      <c r="A164" s="303"/>
      <c r="B164" s="303"/>
      <c r="C164" s="87">
        <v>1</v>
      </c>
      <c r="D164" s="87" t="s">
        <v>425</v>
      </c>
      <c r="E164" s="87">
        <v>1</v>
      </c>
      <c r="F164" s="87" t="s">
        <v>425</v>
      </c>
      <c r="G164" s="87">
        <v>13</v>
      </c>
      <c r="H164" s="88">
        <v>1.3</v>
      </c>
      <c r="I164" s="88">
        <v>0.15</v>
      </c>
      <c r="J164" s="88">
        <f t="shared" si="18"/>
        <v>2.5350000000000001</v>
      </c>
      <c r="K164" s="44"/>
    </row>
    <row r="165" spans="1:11" ht="18.75">
      <c r="A165" s="87">
        <v>36</v>
      </c>
      <c r="B165" s="87" t="s">
        <v>563</v>
      </c>
      <c r="C165" s="87">
        <v>1</v>
      </c>
      <c r="D165" s="87" t="s">
        <v>425</v>
      </c>
      <c r="E165" s="87">
        <v>1</v>
      </c>
      <c r="F165" s="87" t="s">
        <v>425</v>
      </c>
      <c r="G165" s="87">
        <v>1</v>
      </c>
      <c r="H165" s="88">
        <v>3.16</v>
      </c>
      <c r="I165" s="88">
        <v>0.9</v>
      </c>
      <c r="J165" s="88">
        <f t="shared" si="18"/>
        <v>2.8440000000000003</v>
      </c>
      <c r="K165" s="44"/>
    </row>
    <row r="166" spans="1:11" ht="18.75">
      <c r="A166" s="87">
        <v>37</v>
      </c>
      <c r="B166" s="87" t="s">
        <v>564</v>
      </c>
      <c r="C166" s="87">
        <v>1</v>
      </c>
      <c r="D166" s="87" t="s">
        <v>425</v>
      </c>
      <c r="E166" s="87">
        <v>1</v>
      </c>
      <c r="F166" s="87" t="s">
        <v>425</v>
      </c>
      <c r="G166" s="87">
        <v>1</v>
      </c>
      <c r="H166" s="88">
        <v>5.16</v>
      </c>
      <c r="I166" s="88">
        <v>0.15</v>
      </c>
      <c r="J166" s="88">
        <f t="shared" si="18"/>
        <v>0.77400000000000002</v>
      </c>
      <c r="K166" s="44"/>
    </row>
    <row r="167" spans="1:11" ht="18.75">
      <c r="A167" s="87">
        <v>38</v>
      </c>
      <c r="B167" s="87" t="s">
        <v>565</v>
      </c>
      <c r="C167" s="87">
        <v>1</v>
      </c>
      <c r="D167" s="87" t="s">
        <v>425</v>
      </c>
      <c r="E167" s="87">
        <v>1</v>
      </c>
      <c r="F167" s="87" t="s">
        <v>425</v>
      </c>
      <c r="G167" s="87">
        <v>1</v>
      </c>
      <c r="H167" s="88">
        <v>3.16</v>
      </c>
      <c r="I167" s="88">
        <v>1</v>
      </c>
      <c r="J167" s="88">
        <f t="shared" si="18"/>
        <v>3.16</v>
      </c>
      <c r="K167" s="44"/>
    </row>
    <row r="168" spans="1:11" ht="18.75">
      <c r="A168" s="87">
        <v>39</v>
      </c>
      <c r="B168" s="93" t="s">
        <v>566</v>
      </c>
      <c r="C168" s="87"/>
      <c r="D168" s="87"/>
      <c r="E168" s="87"/>
      <c r="F168" s="87"/>
      <c r="G168" s="87"/>
      <c r="H168" s="88"/>
      <c r="I168" s="88"/>
      <c r="J168" s="88"/>
      <c r="K168" s="44"/>
    </row>
    <row r="169" spans="1:11" ht="18.75">
      <c r="A169" s="87">
        <v>40</v>
      </c>
      <c r="B169" s="87" t="s">
        <v>567</v>
      </c>
      <c r="C169" s="87">
        <v>1</v>
      </c>
      <c r="D169" s="87" t="s">
        <v>425</v>
      </c>
      <c r="E169" s="87">
        <v>1</v>
      </c>
      <c r="F169" s="87" t="s">
        <v>425</v>
      </c>
      <c r="G169" s="87">
        <v>1</v>
      </c>
      <c r="H169" s="88">
        <v>4.3499999999999996</v>
      </c>
      <c r="I169" s="88">
        <v>1.3</v>
      </c>
      <c r="J169" s="88">
        <f t="shared" ref="J169:J177" si="19">I169*H169*G169*E169*C169</f>
        <v>5.6549999999999994</v>
      </c>
      <c r="K169" s="44"/>
    </row>
    <row r="170" spans="1:11" ht="18.75">
      <c r="A170" s="87">
        <v>41</v>
      </c>
      <c r="B170" s="87" t="s">
        <v>568</v>
      </c>
      <c r="C170" s="87">
        <v>1</v>
      </c>
      <c r="D170" s="87" t="s">
        <v>425</v>
      </c>
      <c r="E170" s="87">
        <v>1</v>
      </c>
      <c r="F170" s="87" t="s">
        <v>425</v>
      </c>
      <c r="G170" s="87">
        <v>2</v>
      </c>
      <c r="H170" s="88">
        <v>4.3499999999999996</v>
      </c>
      <c r="I170" s="88">
        <v>0.22500000000000001</v>
      </c>
      <c r="J170" s="88">
        <f t="shared" si="19"/>
        <v>1.9574999999999998</v>
      </c>
      <c r="K170" s="44"/>
    </row>
    <row r="171" spans="1:11" ht="18.75">
      <c r="A171" s="301">
        <v>42</v>
      </c>
      <c r="B171" s="301" t="s">
        <v>569</v>
      </c>
      <c r="C171" s="87">
        <v>1</v>
      </c>
      <c r="D171" s="87" t="s">
        <v>425</v>
      </c>
      <c r="E171" s="87">
        <v>1</v>
      </c>
      <c r="F171" s="87" t="s">
        <v>425</v>
      </c>
      <c r="G171" s="87">
        <v>13</v>
      </c>
      <c r="H171" s="88">
        <v>1.3</v>
      </c>
      <c r="I171" s="88">
        <v>0.3</v>
      </c>
      <c r="J171" s="88">
        <f t="shared" si="19"/>
        <v>5.07</v>
      </c>
      <c r="K171" s="44"/>
    </row>
    <row r="172" spans="1:11" ht="18.75">
      <c r="A172" s="303"/>
      <c r="B172" s="303"/>
      <c r="C172" s="87">
        <v>1</v>
      </c>
      <c r="D172" s="87" t="s">
        <v>425</v>
      </c>
      <c r="E172" s="87">
        <v>1</v>
      </c>
      <c r="F172" s="87" t="s">
        <v>425</v>
      </c>
      <c r="G172" s="87">
        <v>13</v>
      </c>
      <c r="H172" s="88">
        <v>1.3</v>
      </c>
      <c r="I172" s="88">
        <v>0.15</v>
      </c>
      <c r="J172" s="88">
        <f t="shared" si="19"/>
        <v>2.5350000000000001</v>
      </c>
      <c r="K172" s="44"/>
    </row>
    <row r="173" spans="1:11" ht="18.75">
      <c r="A173" s="87">
        <v>43</v>
      </c>
      <c r="B173" s="87" t="s">
        <v>538</v>
      </c>
      <c r="C173" s="87">
        <v>1</v>
      </c>
      <c r="D173" s="87" t="s">
        <v>425</v>
      </c>
      <c r="E173" s="87">
        <v>1</v>
      </c>
      <c r="F173" s="87" t="s">
        <v>425</v>
      </c>
      <c r="G173" s="87">
        <v>1</v>
      </c>
      <c r="H173" s="88">
        <v>2.56</v>
      </c>
      <c r="I173" s="88">
        <f>0.3+0.23+0.3</f>
        <v>0.83000000000000007</v>
      </c>
      <c r="J173" s="88">
        <f t="shared" si="19"/>
        <v>2.1248</v>
      </c>
      <c r="K173" s="44"/>
    </row>
    <row r="174" spans="1:11" ht="18.75">
      <c r="A174" s="87">
        <v>44</v>
      </c>
      <c r="B174" s="87" t="s">
        <v>539</v>
      </c>
      <c r="C174" s="87">
        <v>1</v>
      </c>
      <c r="D174" s="87" t="s">
        <v>425</v>
      </c>
      <c r="E174" s="87">
        <v>2</v>
      </c>
      <c r="F174" s="87" t="s">
        <v>425</v>
      </c>
      <c r="G174" s="87">
        <v>2</v>
      </c>
      <c r="H174" s="88">
        <v>0.9</v>
      </c>
      <c r="I174" s="88">
        <f>0.3+0.23+0.3</f>
        <v>0.83000000000000007</v>
      </c>
      <c r="J174" s="88">
        <f t="shared" si="19"/>
        <v>2.9880000000000004</v>
      </c>
      <c r="K174" s="44"/>
    </row>
    <row r="175" spans="1:11" ht="18.75">
      <c r="A175" s="87">
        <v>45</v>
      </c>
      <c r="B175" s="87" t="s">
        <v>570</v>
      </c>
      <c r="C175" s="87">
        <v>1</v>
      </c>
      <c r="D175" s="87" t="s">
        <v>425</v>
      </c>
      <c r="E175" s="87">
        <v>1</v>
      </c>
      <c r="F175" s="87" t="s">
        <v>425</v>
      </c>
      <c r="G175" s="87">
        <v>1</v>
      </c>
      <c r="H175" s="88">
        <v>3.16</v>
      </c>
      <c r="I175" s="88">
        <v>0.9</v>
      </c>
      <c r="J175" s="88">
        <f t="shared" si="19"/>
        <v>2.8440000000000003</v>
      </c>
      <c r="K175" s="44"/>
    </row>
    <row r="176" spans="1:11" ht="18.75">
      <c r="A176" s="87">
        <v>46</v>
      </c>
      <c r="B176" s="87" t="s">
        <v>571</v>
      </c>
      <c r="C176" s="87">
        <v>1</v>
      </c>
      <c r="D176" s="87" t="s">
        <v>425</v>
      </c>
      <c r="E176" s="87">
        <v>1</v>
      </c>
      <c r="F176" s="87" t="s">
        <v>425</v>
      </c>
      <c r="G176" s="87">
        <v>1</v>
      </c>
      <c r="H176" s="88">
        <v>5.16</v>
      </c>
      <c r="I176" s="88">
        <v>0.15</v>
      </c>
      <c r="J176" s="88">
        <f t="shared" si="19"/>
        <v>0.77400000000000002</v>
      </c>
      <c r="K176" s="44"/>
    </row>
    <row r="177" spans="1:11" ht="18.75">
      <c r="A177" s="87">
        <v>47</v>
      </c>
      <c r="B177" s="87" t="s">
        <v>572</v>
      </c>
      <c r="C177" s="87">
        <v>1</v>
      </c>
      <c r="D177" s="87" t="s">
        <v>425</v>
      </c>
      <c r="E177" s="87">
        <v>1</v>
      </c>
      <c r="F177" s="87" t="s">
        <v>425</v>
      </c>
      <c r="G177" s="87">
        <v>1</v>
      </c>
      <c r="H177" s="88">
        <v>3.16</v>
      </c>
      <c r="I177" s="88">
        <v>1</v>
      </c>
      <c r="J177" s="88">
        <f t="shared" si="19"/>
        <v>3.16</v>
      </c>
      <c r="K177" s="44"/>
    </row>
    <row r="178" spans="1:11" ht="18.75">
      <c r="A178" s="87">
        <v>48</v>
      </c>
      <c r="B178" s="94" t="s">
        <v>573</v>
      </c>
      <c r="C178" s="87"/>
      <c r="D178" s="87"/>
      <c r="E178" s="87"/>
      <c r="F178" s="87"/>
      <c r="G178" s="87"/>
      <c r="H178" s="88"/>
      <c r="I178" s="88"/>
      <c r="J178" s="88"/>
      <c r="K178" s="44"/>
    </row>
    <row r="179" spans="1:11" ht="18.75">
      <c r="A179" s="87">
        <v>49</v>
      </c>
      <c r="B179" s="95" t="s">
        <v>544</v>
      </c>
      <c r="C179" s="87">
        <v>1</v>
      </c>
      <c r="D179" s="87" t="s">
        <v>425</v>
      </c>
      <c r="E179" s="87">
        <v>1</v>
      </c>
      <c r="F179" s="87" t="s">
        <v>425</v>
      </c>
      <c r="G179" s="87">
        <v>2</v>
      </c>
      <c r="H179" s="88">
        <v>5.125</v>
      </c>
      <c r="I179" s="88">
        <f>0.45+0.23+0.45+0.23</f>
        <v>1.36</v>
      </c>
      <c r="J179" s="88">
        <f>I179*H179*G179*E179*C179</f>
        <v>13.940000000000001</v>
      </c>
      <c r="K179" s="44"/>
    </row>
    <row r="180" spans="1:11" ht="18.75">
      <c r="A180" s="87">
        <v>50</v>
      </c>
      <c r="B180" s="87" t="s">
        <v>545</v>
      </c>
      <c r="C180" s="87">
        <v>1</v>
      </c>
      <c r="D180" s="87" t="s">
        <v>425</v>
      </c>
      <c r="E180" s="87">
        <v>1</v>
      </c>
      <c r="F180" s="87" t="s">
        <v>425</v>
      </c>
      <c r="G180" s="87">
        <v>1</v>
      </c>
      <c r="H180" s="88">
        <v>2.56</v>
      </c>
      <c r="I180" s="88">
        <f>0.3+0.23+0.3</f>
        <v>0.83000000000000007</v>
      </c>
      <c r="J180" s="88">
        <f>I180*H180*G180*E180*C180</f>
        <v>2.1248</v>
      </c>
      <c r="K180" s="44"/>
    </row>
    <row r="181" spans="1:11" ht="18.75">
      <c r="A181" s="87">
        <v>51</v>
      </c>
      <c r="B181" s="87" t="s">
        <v>574</v>
      </c>
      <c r="C181" s="87">
        <v>1</v>
      </c>
      <c r="D181" s="87" t="s">
        <v>425</v>
      </c>
      <c r="E181" s="87">
        <v>1</v>
      </c>
      <c r="F181" s="87" t="s">
        <v>425</v>
      </c>
      <c r="G181" s="87">
        <v>1</v>
      </c>
      <c r="H181" s="88">
        <v>4.3499999999999996</v>
      </c>
      <c r="I181" s="88">
        <v>1.3</v>
      </c>
      <c r="J181" s="88">
        <f t="shared" ref="J181:J187" si="20">I181*H181*G181*E181*C181</f>
        <v>5.6549999999999994</v>
      </c>
      <c r="K181" s="44"/>
    </row>
    <row r="182" spans="1:11" ht="18.75">
      <c r="A182" s="87">
        <v>52</v>
      </c>
      <c r="B182" s="87" t="s">
        <v>575</v>
      </c>
      <c r="C182" s="87">
        <v>1</v>
      </c>
      <c r="D182" s="87" t="s">
        <v>425</v>
      </c>
      <c r="E182" s="87">
        <v>1</v>
      </c>
      <c r="F182" s="87" t="s">
        <v>425</v>
      </c>
      <c r="G182" s="87">
        <v>2</v>
      </c>
      <c r="H182" s="88">
        <v>4.3499999999999996</v>
      </c>
      <c r="I182" s="88">
        <v>0.22500000000000001</v>
      </c>
      <c r="J182" s="88">
        <f t="shared" si="20"/>
        <v>1.9574999999999998</v>
      </c>
      <c r="K182" s="44"/>
    </row>
    <row r="183" spans="1:11" ht="18.75">
      <c r="A183" s="301">
        <v>53</v>
      </c>
      <c r="B183" s="301" t="s">
        <v>576</v>
      </c>
      <c r="C183" s="87">
        <v>1</v>
      </c>
      <c r="D183" s="87" t="s">
        <v>425</v>
      </c>
      <c r="E183" s="87">
        <v>1</v>
      </c>
      <c r="F183" s="87" t="s">
        <v>425</v>
      </c>
      <c r="G183" s="87">
        <v>13</v>
      </c>
      <c r="H183" s="88">
        <v>1.3</v>
      </c>
      <c r="I183" s="88">
        <v>0.3</v>
      </c>
      <c r="J183" s="88">
        <f t="shared" si="20"/>
        <v>5.07</v>
      </c>
      <c r="K183" s="44"/>
    </row>
    <row r="184" spans="1:11" ht="18.75">
      <c r="A184" s="303"/>
      <c r="B184" s="303"/>
      <c r="C184" s="87">
        <v>1</v>
      </c>
      <c r="D184" s="87" t="s">
        <v>425</v>
      </c>
      <c r="E184" s="87">
        <v>1</v>
      </c>
      <c r="F184" s="87" t="s">
        <v>425</v>
      </c>
      <c r="G184" s="87">
        <v>13</v>
      </c>
      <c r="H184" s="88">
        <v>1.3</v>
      </c>
      <c r="I184" s="88">
        <v>0.15</v>
      </c>
      <c r="J184" s="88">
        <f t="shared" si="20"/>
        <v>2.5350000000000001</v>
      </c>
      <c r="K184" s="44"/>
    </row>
    <row r="185" spans="1:11" ht="18.75">
      <c r="A185" s="87">
        <v>54</v>
      </c>
      <c r="B185" s="87" t="s">
        <v>577</v>
      </c>
      <c r="C185" s="87">
        <v>1</v>
      </c>
      <c r="D185" s="87" t="s">
        <v>425</v>
      </c>
      <c r="E185" s="87">
        <v>1</v>
      </c>
      <c r="F185" s="87" t="s">
        <v>425</v>
      </c>
      <c r="G185" s="87">
        <v>1</v>
      </c>
      <c r="H185" s="88">
        <v>3.16</v>
      </c>
      <c r="I185" s="88">
        <v>0.9</v>
      </c>
      <c r="J185" s="88">
        <f t="shared" si="20"/>
        <v>2.8440000000000003</v>
      </c>
      <c r="K185" s="44"/>
    </row>
    <row r="186" spans="1:11" ht="18.75">
      <c r="A186" s="87">
        <v>55</v>
      </c>
      <c r="B186" s="87" t="s">
        <v>578</v>
      </c>
      <c r="C186" s="87">
        <v>1</v>
      </c>
      <c r="D186" s="87" t="s">
        <v>425</v>
      </c>
      <c r="E186" s="87">
        <v>1</v>
      </c>
      <c r="F186" s="87" t="s">
        <v>425</v>
      </c>
      <c r="G186" s="87">
        <v>1</v>
      </c>
      <c r="H186" s="88">
        <v>5.16</v>
      </c>
      <c r="I186" s="88">
        <v>0.15</v>
      </c>
      <c r="J186" s="88">
        <f t="shared" si="20"/>
        <v>0.77400000000000002</v>
      </c>
      <c r="K186" s="44"/>
    </row>
    <row r="187" spans="1:11" ht="18.75">
      <c r="A187" s="87">
        <v>56</v>
      </c>
      <c r="B187" s="87" t="s">
        <v>579</v>
      </c>
      <c r="C187" s="87">
        <v>1</v>
      </c>
      <c r="D187" s="87" t="s">
        <v>425</v>
      </c>
      <c r="E187" s="87">
        <v>1</v>
      </c>
      <c r="F187" s="87" t="s">
        <v>425</v>
      </c>
      <c r="G187" s="87">
        <v>1</v>
      </c>
      <c r="H187" s="88">
        <v>3.16</v>
      </c>
      <c r="I187" s="88">
        <v>1</v>
      </c>
      <c r="J187" s="88">
        <f t="shared" si="20"/>
        <v>3.16</v>
      </c>
      <c r="K187" s="44"/>
    </row>
    <row r="188" spans="1:11" ht="18.75">
      <c r="A188" s="87">
        <v>57</v>
      </c>
      <c r="B188" s="93" t="s">
        <v>580</v>
      </c>
      <c r="C188" s="87"/>
      <c r="D188" s="87"/>
      <c r="E188" s="87"/>
      <c r="F188" s="87"/>
      <c r="G188" s="87"/>
      <c r="H188" s="88"/>
      <c r="I188" s="88"/>
      <c r="J188" s="88"/>
      <c r="K188" s="44"/>
    </row>
    <row r="189" spans="1:11" ht="18.75">
      <c r="A189" s="87">
        <v>58</v>
      </c>
      <c r="B189" s="87" t="s">
        <v>581</v>
      </c>
      <c r="C189" s="87">
        <v>1</v>
      </c>
      <c r="D189" s="87" t="s">
        <v>425</v>
      </c>
      <c r="E189" s="87">
        <v>1</v>
      </c>
      <c r="F189" s="87" t="s">
        <v>425</v>
      </c>
      <c r="G189" s="87">
        <v>1</v>
      </c>
      <c r="H189" s="88">
        <v>4.3499999999999996</v>
      </c>
      <c r="I189" s="88">
        <v>1.3</v>
      </c>
      <c r="J189" s="88">
        <f t="shared" ref="J189:J198" si="21">I189*H189*G189*E189*C189</f>
        <v>5.6549999999999994</v>
      </c>
      <c r="K189" s="44"/>
    </row>
    <row r="190" spans="1:11" ht="18.75">
      <c r="A190" s="87">
        <v>59</v>
      </c>
      <c r="B190" s="87" t="s">
        <v>582</v>
      </c>
      <c r="C190" s="87">
        <v>1</v>
      </c>
      <c r="D190" s="87" t="s">
        <v>425</v>
      </c>
      <c r="E190" s="87">
        <v>1</v>
      </c>
      <c r="F190" s="87" t="s">
        <v>425</v>
      </c>
      <c r="G190" s="87">
        <v>2</v>
      </c>
      <c r="H190" s="88">
        <v>4.3499999999999996</v>
      </c>
      <c r="I190" s="88">
        <v>0.22500000000000001</v>
      </c>
      <c r="J190" s="88">
        <f t="shared" si="21"/>
        <v>1.9574999999999998</v>
      </c>
      <c r="K190" s="44"/>
    </row>
    <row r="191" spans="1:11" ht="18.75">
      <c r="A191" s="301">
        <v>60</v>
      </c>
      <c r="B191" s="301" t="s">
        <v>583</v>
      </c>
      <c r="C191" s="87">
        <v>1</v>
      </c>
      <c r="D191" s="87" t="s">
        <v>425</v>
      </c>
      <c r="E191" s="87">
        <v>1</v>
      </c>
      <c r="F191" s="87" t="s">
        <v>425</v>
      </c>
      <c r="G191" s="87">
        <v>13</v>
      </c>
      <c r="H191" s="88">
        <v>1.3</v>
      </c>
      <c r="I191" s="88">
        <v>0.3</v>
      </c>
      <c r="J191" s="88">
        <f t="shared" si="21"/>
        <v>5.07</v>
      </c>
      <c r="K191" s="44"/>
    </row>
    <row r="192" spans="1:11" ht="18.75">
      <c r="A192" s="303"/>
      <c r="B192" s="303"/>
      <c r="C192" s="87">
        <v>1</v>
      </c>
      <c r="D192" s="87" t="s">
        <v>425</v>
      </c>
      <c r="E192" s="87">
        <v>1</v>
      </c>
      <c r="F192" s="87" t="s">
        <v>425</v>
      </c>
      <c r="G192" s="87">
        <v>13</v>
      </c>
      <c r="H192" s="88">
        <v>1.3</v>
      </c>
      <c r="I192" s="88">
        <v>0.15</v>
      </c>
      <c r="J192" s="88">
        <f t="shared" si="21"/>
        <v>2.5350000000000001</v>
      </c>
      <c r="K192" s="44"/>
    </row>
    <row r="193" spans="1:11" ht="18.75">
      <c r="A193" s="87">
        <v>61</v>
      </c>
      <c r="B193" s="87" t="s">
        <v>538</v>
      </c>
      <c r="C193" s="87">
        <v>1</v>
      </c>
      <c r="D193" s="87" t="s">
        <v>425</v>
      </c>
      <c r="E193" s="87">
        <v>1</v>
      </c>
      <c r="F193" s="87" t="s">
        <v>425</v>
      </c>
      <c r="G193" s="87">
        <v>1</v>
      </c>
      <c r="H193" s="88">
        <v>2.56</v>
      </c>
      <c r="I193" s="88">
        <f>0.3+0.23+0.3</f>
        <v>0.83000000000000007</v>
      </c>
      <c r="J193" s="88">
        <f t="shared" si="21"/>
        <v>2.1248</v>
      </c>
      <c r="K193" s="44"/>
    </row>
    <row r="194" spans="1:11" ht="18.75">
      <c r="A194" s="87">
        <v>62</v>
      </c>
      <c r="B194" s="87" t="s">
        <v>539</v>
      </c>
      <c r="C194" s="87">
        <v>1</v>
      </c>
      <c r="D194" s="87" t="s">
        <v>425</v>
      </c>
      <c r="E194" s="87">
        <v>2</v>
      </c>
      <c r="F194" s="87" t="s">
        <v>425</v>
      </c>
      <c r="G194" s="87">
        <v>2</v>
      </c>
      <c r="H194" s="88">
        <v>0.9</v>
      </c>
      <c r="I194" s="88">
        <f>0.3+0.23+0.3</f>
        <v>0.83000000000000007</v>
      </c>
      <c r="J194" s="88">
        <f t="shared" si="21"/>
        <v>2.9880000000000004</v>
      </c>
      <c r="K194" s="44"/>
    </row>
    <row r="195" spans="1:11" ht="18.75">
      <c r="A195" s="87">
        <v>63</v>
      </c>
      <c r="B195" s="87" t="s">
        <v>584</v>
      </c>
      <c r="C195" s="87">
        <v>1</v>
      </c>
      <c r="D195" s="87" t="s">
        <v>425</v>
      </c>
      <c r="E195" s="87">
        <v>1</v>
      </c>
      <c r="F195" s="87" t="s">
        <v>425</v>
      </c>
      <c r="G195" s="87">
        <v>1</v>
      </c>
      <c r="H195" s="88">
        <v>3.16</v>
      </c>
      <c r="I195" s="88">
        <v>0.9</v>
      </c>
      <c r="J195" s="88">
        <f t="shared" si="21"/>
        <v>2.8440000000000003</v>
      </c>
      <c r="K195" s="44"/>
    </row>
    <row r="196" spans="1:11" ht="18.75">
      <c r="A196" s="87">
        <v>64</v>
      </c>
      <c r="B196" s="87" t="s">
        <v>585</v>
      </c>
      <c r="C196" s="87">
        <v>1</v>
      </c>
      <c r="D196" s="87" t="s">
        <v>425</v>
      </c>
      <c r="E196" s="87">
        <v>1</v>
      </c>
      <c r="F196" s="87" t="s">
        <v>425</v>
      </c>
      <c r="G196" s="87">
        <v>1</v>
      </c>
      <c r="H196" s="88">
        <v>5.16</v>
      </c>
      <c r="I196" s="88">
        <v>0.15</v>
      </c>
      <c r="J196" s="88">
        <f t="shared" si="21"/>
        <v>0.77400000000000002</v>
      </c>
      <c r="K196" s="44"/>
    </row>
    <row r="197" spans="1:11" ht="18.75">
      <c r="A197" s="87">
        <v>65</v>
      </c>
      <c r="B197" s="87" t="s">
        <v>586</v>
      </c>
      <c r="C197" s="87">
        <v>1</v>
      </c>
      <c r="D197" s="87" t="s">
        <v>425</v>
      </c>
      <c r="E197" s="87">
        <v>1</v>
      </c>
      <c r="F197" s="87" t="s">
        <v>425</v>
      </c>
      <c r="G197" s="87">
        <v>1</v>
      </c>
      <c r="H197" s="88">
        <v>3.16</v>
      </c>
      <c r="I197" s="88">
        <v>1</v>
      </c>
      <c r="J197" s="88">
        <f t="shared" si="21"/>
        <v>3.16</v>
      </c>
      <c r="K197" s="44"/>
    </row>
    <row r="198" spans="1:11" ht="18.75">
      <c r="A198" s="87">
        <v>66</v>
      </c>
      <c r="B198" s="96" t="s">
        <v>587</v>
      </c>
      <c r="C198" s="87">
        <v>1</v>
      </c>
      <c r="D198" s="87" t="s">
        <v>425</v>
      </c>
      <c r="E198" s="87">
        <v>1</v>
      </c>
      <c r="F198" s="87" t="s">
        <v>425</v>
      </c>
      <c r="G198" s="87">
        <v>1</v>
      </c>
      <c r="H198" s="88">
        <v>1</v>
      </c>
      <c r="I198" s="88">
        <v>1.3</v>
      </c>
      <c r="J198" s="88">
        <f t="shared" si="21"/>
        <v>1.3</v>
      </c>
      <c r="K198" s="44"/>
    </row>
    <row r="199" spans="1:11" ht="18.75">
      <c r="A199" s="87">
        <v>67</v>
      </c>
      <c r="B199" s="94" t="s">
        <v>588</v>
      </c>
      <c r="C199" s="87"/>
      <c r="D199" s="87"/>
      <c r="E199" s="87"/>
      <c r="F199" s="87"/>
      <c r="G199" s="87"/>
      <c r="H199" s="88"/>
      <c r="I199" s="88"/>
      <c r="J199" s="88"/>
      <c r="K199" s="44"/>
    </row>
    <row r="200" spans="1:11" ht="18.75">
      <c r="A200" s="87">
        <v>68</v>
      </c>
      <c r="B200" s="95" t="s">
        <v>544</v>
      </c>
      <c r="C200" s="87">
        <v>1</v>
      </c>
      <c r="D200" s="87" t="s">
        <v>425</v>
      </c>
      <c r="E200" s="87">
        <v>1</v>
      </c>
      <c r="F200" s="87" t="s">
        <v>425</v>
      </c>
      <c r="G200" s="87">
        <v>2</v>
      </c>
      <c r="H200" s="88">
        <v>5.125</v>
      </c>
      <c r="I200" s="88">
        <f>0.45+0.23+0.45+0.23</f>
        <v>1.36</v>
      </c>
      <c r="J200" s="88">
        <f>I200*H200*G200*E200*C200</f>
        <v>13.940000000000001</v>
      </c>
      <c r="K200" s="44"/>
    </row>
    <row r="201" spans="1:11" ht="18.75">
      <c r="A201" s="87">
        <v>69</v>
      </c>
      <c r="B201" s="87" t="s">
        <v>545</v>
      </c>
      <c r="C201" s="87">
        <v>1</v>
      </c>
      <c r="D201" s="87" t="s">
        <v>425</v>
      </c>
      <c r="E201" s="87">
        <v>1</v>
      </c>
      <c r="F201" s="87" t="s">
        <v>425</v>
      </c>
      <c r="G201" s="87">
        <v>1</v>
      </c>
      <c r="H201" s="88">
        <v>2.56</v>
      </c>
      <c r="I201" s="88">
        <f>0.3+0.23+0.3</f>
        <v>0.83000000000000007</v>
      </c>
      <c r="J201" s="88">
        <f>I201*H201*G201*E201*C201</f>
        <v>2.1248</v>
      </c>
      <c r="K201" s="44"/>
    </row>
    <row r="202" spans="1:11" ht="18.75">
      <c r="A202" s="87">
        <v>70</v>
      </c>
      <c r="B202" s="87" t="s">
        <v>589</v>
      </c>
      <c r="C202" s="87">
        <v>1</v>
      </c>
      <c r="D202" s="87" t="s">
        <v>425</v>
      </c>
      <c r="E202" s="87">
        <v>1</v>
      </c>
      <c r="F202" s="87" t="s">
        <v>425</v>
      </c>
      <c r="G202" s="87">
        <v>1</v>
      </c>
      <c r="H202" s="88">
        <v>4.3499999999999996</v>
      </c>
      <c r="I202" s="88">
        <v>1.3</v>
      </c>
      <c r="J202" s="88">
        <f t="shared" ref="J202:J208" si="22">I202*H202*G202*E202*C202</f>
        <v>5.6549999999999994</v>
      </c>
      <c r="K202" s="44"/>
    </row>
    <row r="203" spans="1:11" ht="18.75">
      <c r="A203" s="87">
        <v>71</v>
      </c>
      <c r="B203" s="87" t="s">
        <v>590</v>
      </c>
      <c r="C203" s="87">
        <v>1</v>
      </c>
      <c r="D203" s="87" t="s">
        <v>425</v>
      </c>
      <c r="E203" s="87">
        <v>1</v>
      </c>
      <c r="F203" s="87" t="s">
        <v>425</v>
      </c>
      <c r="G203" s="87">
        <v>2</v>
      </c>
      <c r="H203" s="88">
        <v>4.3499999999999996</v>
      </c>
      <c r="I203" s="88">
        <v>0.22500000000000001</v>
      </c>
      <c r="J203" s="88">
        <f t="shared" si="22"/>
        <v>1.9574999999999998</v>
      </c>
      <c r="K203" s="44"/>
    </row>
    <row r="204" spans="1:11" ht="18.75">
      <c r="A204" s="301">
        <v>72</v>
      </c>
      <c r="B204" s="301" t="s">
        <v>591</v>
      </c>
      <c r="C204" s="87">
        <v>1</v>
      </c>
      <c r="D204" s="87" t="s">
        <v>425</v>
      </c>
      <c r="E204" s="87">
        <v>1</v>
      </c>
      <c r="F204" s="87" t="s">
        <v>425</v>
      </c>
      <c r="G204" s="87">
        <v>13</v>
      </c>
      <c r="H204" s="88">
        <v>1.3</v>
      </c>
      <c r="I204" s="88">
        <v>0.3</v>
      </c>
      <c r="J204" s="88">
        <f t="shared" si="22"/>
        <v>5.07</v>
      </c>
      <c r="K204" s="44"/>
    </row>
    <row r="205" spans="1:11" ht="18.75">
      <c r="A205" s="303"/>
      <c r="B205" s="303"/>
      <c r="C205" s="87">
        <v>1</v>
      </c>
      <c r="D205" s="87" t="s">
        <v>425</v>
      </c>
      <c r="E205" s="87">
        <v>1</v>
      </c>
      <c r="F205" s="87" t="s">
        <v>425</v>
      </c>
      <c r="G205" s="87">
        <v>13</v>
      </c>
      <c r="H205" s="88">
        <v>1.3</v>
      </c>
      <c r="I205" s="88">
        <v>0.15</v>
      </c>
      <c r="J205" s="88">
        <f t="shared" si="22"/>
        <v>2.5350000000000001</v>
      </c>
      <c r="K205" s="44"/>
    </row>
    <row r="206" spans="1:11" ht="18.75">
      <c r="A206" s="87">
        <v>73</v>
      </c>
      <c r="B206" s="87" t="s">
        <v>592</v>
      </c>
      <c r="C206" s="87">
        <v>1</v>
      </c>
      <c r="D206" s="87" t="s">
        <v>425</v>
      </c>
      <c r="E206" s="87">
        <v>1</v>
      </c>
      <c r="F206" s="87" t="s">
        <v>425</v>
      </c>
      <c r="G206" s="87">
        <v>1</v>
      </c>
      <c r="H206" s="88">
        <v>3.16</v>
      </c>
      <c r="I206" s="88">
        <v>0.9</v>
      </c>
      <c r="J206" s="88">
        <f t="shared" si="22"/>
        <v>2.8440000000000003</v>
      </c>
      <c r="K206" s="44"/>
    </row>
    <row r="207" spans="1:11" ht="18.75">
      <c r="A207" s="87">
        <v>74</v>
      </c>
      <c r="B207" s="87" t="s">
        <v>593</v>
      </c>
      <c r="C207" s="87">
        <v>1</v>
      </c>
      <c r="D207" s="87" t="s">
        <v>425</v>
      </c>
      <c r="E207" s="87">
        <v>1</v>
      </c>
      <c r="F207" s="87" t="s">
        <v>425</v>
      </c>
      <c r="G207" s="87">
        <v>1</v>
      </c>
      <c r="H207" s="88">
        <v>5.16</v>
      </c>
      <c r="I207" s="88">
        <v>0.15</v>
      </c>
      <c r="J207" s="88">
        <f t="shared" si="22"/>
        <v>0.77400000000000002</v>
      </c>
      <c r="K207" s="44"/>
    </row>
    <row r="208" spans="1:11" ht="18.75">
      <c r="A208" s="87">
        <v>75</v>
      </c>
      <c r="B208" s="87" t="s">
        <v>594</v>
      </c>
      <c r="C208" s="87">
        <v>1</v>
      </c>
      <c r="D208" s="87" t="s">
        <v>425</v>
      </c>
      <c r="E208" s="87">
        <v>1</v>
      </c>
      <c r="F208" s="87" t="s">
        <v>425</v>
      </c>
      <c r="G208" s="87">
        <v>1</v>
      </c>
      <c r="H208" s="88">
        <v>3.16</v>
      </c>
      <c r="I208" s="88">
        <v>1</v>
      </c>
      <c r="J208" s="88">
        <f t="shared" si="22"/>
        <v>3.16</v>
      </c>
      <c r="K208" s="44"/>
    </row>
    <row r="209" spans="1:11" ht="18.75">
      <c r="A209" s="87">
        <v>76</v>
      </c>
      <c r="B209" s="93" t="s">
        <v>595</v>
      </c>
      <c r="C209" s="87"/>
      <c r="D209" s="87"/>
      <c r="E209" s="87"/>
      <c r="F209" s="87"/>
      <c r="G209" s="87"/>
      <c r="H209" s="88"/>
      <c r="I209" s="88"/>
      <c r="J209" s="88"/>
      <c r="K209" s="44"/>
    </row>
    <row r="210" spans="1:11" ht="18.75">
      <c r="A210" s="87">
        <v>77</v>
      </c>
      <c r="B210" s="87" t="s">
        <v>596</v>
      </c>
      <c r="C210" s="87">
        <v>1</v>
      </c>
      <c r="D210" s="87" t="s">
        <v>425</v>
      </c>
      <c r="E210" s="87">
        <v>1</v>
      </c>
      <c r="F210" s="87" t="s">
        <v>425</v>
      </c>
      <c r="G210" s="87">
        <v>1</v>
      </c>
      <c r="H210" s="88">
        <v>4.3499999999999996</v>
      </c>
      <c r="I210" s="88">
        <v>1.3</v>
      </c>
      <c r="J210" s="88">
        <f t="shared" ref="J210:J219" si="23">I210*H210*G210*E210*C210</f>
        <v>5.6549999999999994</v>
      </c>
      <c r="K210" s="44"/>
    </row>
    <row r="211" spans="1:11" ht="18.75">
      <c r="A211" s="87">
        <v>78</v>
      </c>
      <c r="B211" s="87" t="s">
        <v>597</v>
      </c>
      <c r="C211" s="87">
        <v>1</v>
      </c>
      <c r="D211" s="87" t="s">
        <v>425</v>
      </c>
      <c r="E211" s="87">
        <v>1</v>
      </c>
      <c r="F211" s="87" t="s">
        <v>425</v>
      </c>
      <c r="G211" s="87">
        <v>2</v>
      </c>
      <c r="H211" s="88">
        <v>4.3499999999999996</v>
      </c>
      <c r="I211" s="88">
        <v>0.22500000000000001</v>
      </c>
      <c r="J211" s="88">
        <f t="shared" si="23"/>
        <v>1.9574999999999998</v>
      </c>
      <c r="K211" s="44"/>
    </row>
    <row r="212" spans="1:11" ht="18.75">
      <c r="A212" s="301">
        <v>79</v>
      </c>
      <c r="B212" s="301" t="s">
        <v>598</v>
      </c>
      <c r="C212" s="87">
        <v>1</v>
      </c>
      <c r="D212" s="87" t="s">
        <v>425</v>
      </c>
      <c r="E212" s="87">
        <v>1</v>
      </c>
      <c r="F212" s="87" t="s">
        <v>425</v>
      </c>
      <c r="G212" s="87">
        <v>13</v>
      </c>
      <c r="H212" s="88">
        <v>1.3</v>
      </c>
      <c r="I212" s="88">
        <v>0.3</v>
      </c>
      <c r="J212" s="88">
        <f t="shared" si="23"/>
        <v>5.07</v>
      </c>
      <c r="K212" s="44"/>
    </row>
    <row r="213" spans="1:11" ht="18.75">
      <c r="A213" s="303"/>
      <c r="B213" s="303"/>
      <c r="C213" s="87">
        <v>1</v>
      </c>
      <c r="D213" s="87" t="s">
        <v>425</v>
      </c>
      <c r="E213" s="87">
        <v>1</v>
      </c>
      <c r="F213" s="87" t="s">
        <v>425</v>
      </c>
      <c r="G213" s="87">
        <v>13</v>
      </c>
      <c r="H213" s="88">
        <v>1.3</v>
      </c>
      <c r="I213" s="88">
        <v>0.15</v>
      </c>
      <c r="J213" s="88">
        <f t="shared" si="23"/>
        <v>2.5350000000000001</v>
      </c>
      <c r="K213" s="44"/>
    </row>
    <row r="214" spans="1:11" ht="18.75">
      <c r="A214" s="87">
        <v>80</v>
      </c>
      <c r="B214" s="87" t="s">
        <v>538</v>
      </c>
      <c r="C214" s="87">
        <v>1</v>
      </c>
      <c r="D214" s="87" t="s">
        <v>425</v>
      </c>
      <c r="E214" s="87">
        <v>1</v>
      </c>
      <c r="F214" s="87" t="s">
        <v>425</v>
      </c>
      <c r="G214" s="87">
        <v>1</v>
      </c>
      <c r="H214" s="88">
        <v>2.56</v>
      </c>
      <c r="I214" s="88">
        <f>0.3+0.23+0.3</f>
        <v>0.83000000000000007</v>
      </c>
      <c r="J214" s="88">
        <f t="shared" si="23"/>
        <v>2.1248</v>
      </c>
      <c r="K214" s="44"/>
    </row>
    <row r="215" spans="1:11" ht="18.75">
      <c r="A215" s="87">
        <v>81</v>
      </c>
      <c r="B215" s="87" t="s">
        <v>539</v>
      </c>
      <c r="C215" s="87">
        <v>1</v>
      </c>
      <c r="D215" s="87" t="s">
        <v>425</v>
      </c>
      <c r="E215" s="87">
        <v>2</v>
      </c>
      <c r="F215" s="87" t="s">
        <v>425</v>
      </c>
      <c r="G215" s="87">
        <v>2</v>
      </c>
      <c r="H215" s="88">
        <v>0.9</v>
      </c>
      <c r="I215" s="88">
        <f>0.3+0.23+0.3</f>
        <v>0.83000000000000007</v>
      </c>
      <c r="J215" s="88">
        <f t="shared" si="23"/>
        <v>2.9880000000000004</v>
      </c>
      <c r="K215" s="44"/>
    </row>
    <row r="216" spans="1:11" ht="18.75">
      <c r="A216" s="87">
        <v>82</v>
      </c>
      <c r="B216" s="87" t="s">
        <v>599</v>
      </c>
      <c r="C216" s="87">
        <v>1</v>
      </c>
      <c r="D216" s="87" t="s">
        <v>425</v>
      </c>
      <c r="E216" s="87">
        <v>1</v>
      </c>
      <c r="F216" s="87" t="s">
        <v>425</v>
      </c>
      <c r="G216" s="87">
        <v>1</v>
      </c>
      <c r="H216" s="88">
        <v>3.16</v>
      </c>
      <c r="I216" s="88">
        <v>0.9</v>
      </c>
      <c r="J216" s="88">
        <f t="shared" si="23"/>
        <v>2.8440000000000003</v>
      </c>
      <c r="K216" s="44"/>
    </row>
    <row r="217" spans="1:11" ht="18.75">
      <c r="A217" s="87">
        <v>83</v>
      </c>
      <c r="B217" s="87" t="s">
        <v>600</v>
      </c>
      <c r="C217" s="87">
        <v>1</v>
      </c>
      <c r="D217" s="87" t="s">
        <v>425</v>
      </c>
      <c r="E217" s="87">
        <v>1</v>
      </c>
      <c r="F217" s="87" t="s">
        <v>425</v>
      </c>
      <c r="G217" s="87">
        <v>1</v>
      </c>
      <c r="H217" s="88">
        <v>5.16</v>
      </c>
      <c r="I217" s="88">
        <v>0.15</v>
      </c>
      <c r="J217" s="88">
        <f t="shared" si="23"/>
        <v>0.77400000000000002</v>
      </c>
      <c r="K217" s="44"/>
    </row>
    <row r="218" spans="1:11" ht="18.75">
      <c r="A218" s="87">
        <v>84</v>
      </c>
      <c r="B218" s="87" t="s">
        <v>601</v>
      </c>
      <c r="C218" s="87">
        <v>1</v>
      </c>
      <c r="D218" s="87" t="s">
        <v>425</v>
      </c>
      <c r="E218" s="87">
        <v>1</v>
      </c>
      <c r="F218" s="87" t="s">
        <v>425</v>
      </c>
      <c r="G218" s="87">
        <v>1</v>
      </c>
      <c r="H218" s="88">
        <v>3.16</v>
      </c>
      <c r="I218" s="88">
        <v>1</v>
      </c>
      <c r="J218" s="88">
        <f t="shared" si="23"/>
        <v>3.16</v>
      </c>
      <c r="K218" s="44"/>
    </row>
    <row r="219" spans="1:11" ht="18.75">
      <c r="A219" s="87">
        <v>85</v>
      </c>
      <c r="B219" s="87" t="s">
        <v>602</v>
      </c>
      <c r="C219" s="87">
        <v>1</v>
      </c>
      <c r="D219" s="87" t="s">
        <v>425</v>
      </c>
      <c r="E219" s="87">
        <v>1</v>
      </c>
      <c r="F219" s="87" t="s">
        <v>425</v>
      </c>
      <c r="G219" s="87">
        <v>1</v>
      </c>
      <c r="H219" s="88">
        <v>2</v>
      </c>
      <c r="I219" s="97">
        <v>1.3</v>
      </c>
      <c r="J219" s="88">
        <f t="shared" si="23"/>
        <v>2.6</v>
      </c>
      <c r="K219" s="44"/>
    </row>
    <row r="220" spans="1:11" ht="18.75">
      <c r="A220" s="44"/>
      <c r="B220" s="44"/>
      <c r="C220" s="44"/>
      <c r="D220" s="44"/>
      <c r="E220" s="44"/>
      <c r="F220" s="44"/>
      <c r="G220" s="307" t="s">
        <v>502</v>
      </c>
      <c r="H220" s="308"/>
      <c r="I220" s="309"/>
      <c r="J220" s="72">
        <f>SUM(J122:J219)</f>
        <v>432.12349999999992</v>
      </c>
      <c r="K220" s="44"/>
    </row>
    <row r="221" spans="1:11" ht="18.75">
      <c r="A221" s="44"/>
      <c r="B221" s="44"/>
      <c r="C221" s="44"/>
      <c r="D221" s="44"/>
      <c r="E221" s="44"/>
      <c r="F221" s="44"/>
      <c r="G221" s="204"/>
      <c r="H221" s="204"/>
      <c r="I221" s="204"/>
      <c r="J221" s="72"/>
      <c r="K221" s="44"/>
    </row>
    <row r="222" spans="1:11" ht="21">
      <c r="A222" s="44"/>
      <c r="B222" s="238" t="s">
        <v>328</v>
      </c>
      <c r="C222" s="44"/>
      <c r="D222" s="44"/>
      <c r="E222" s="44"/>
      <c r="F222" s="44"/>
      <c r="G222" s="204"/>
      <c r="H222" s="204"/>
      <c r="I222" s="204"/>
      <c r="J222" s="72"/>
      <c r="K222" s="44"/>
    </row>
    <row r="223" spans="1:11" ht="87" customHeight="1">
      <c r="A223" s="237">
        <v>1</v>
      </c>
      <c r="B223" s="310" t="s">
        <v>203</v>
      </c>
      <c r="C223" s="310"/>
      <c r="D223" s="310"/>
      <c r="E223" s="310"/>
      <c r="F223" s="310"/>
      <c r="G223" s="310"/>
      <c r="H223" s="310"/>
      <c r="I223" s="310"/>
      <c r="J223" s="310"/>
      <c r="K223" s="310"/>
    </row>
    <row r="224" spans="1:11" ht="18.75">
      <c r="A224" s="169" t="s">
        <v>208</v>
      </c>
      <c r="B224" s="277" t="s">
        <v>827</v>
      </c>
      <c r="C224" s="278"/>
      <c r="D224" s="278"/>
      <c r="E224" s="279"/>
      <c r="F224" s="167" t="s">
        <v>23</v>
      </c>
      <c r="G224" s="58">
        <v>2</v>
      </c>
      <c r="H224" s="204"/>
      <c r="I224" s="204"/>
      <c r="J224" s="88">
        <f>G224</f>
        <v>2</v>
      </c>
      <c r="K224" s="44"/>
    </row>
    <row r="225" spans="1:11" ht="18.75">
      <c r="A225" s="171" t="s">
        <v>209</v>
      </c>
      <c r="B225" s="270" t="s">
        <v>825</v>
      </c>
      <c r="C225" s="271"/>
      <c r="D225" s="271"/>
      <c r="E225" s="272"/>
      <c r="F225" s="151" t="s">
        <v>23</v>
      </c>
      <c r="G225" s="58">
        <v>1</v>
      </c>
      <c r="H225" s="204"/>
      <c r="I225" s="204"/>
      <c r="J225" s="88">
        <f t="shared" ref="J225:J226" si="24">G225</f>
        <v>1</v>
      </c>
      <c r="K225" s="44"/>
    </row>
    <row r="226" spans="1:11" ht="18.75">
      <c r="A226" s="171" t="s">
        <v>210</v>
      </c>
      <c r="B226" s="270" t="s">
        <v>826</v>
      </c>
      <c r="C226" s="271"/>
      <c r="D226" s="271"/>
      <c r="E226" s="272"/>
      <c r="F226" s="151" t="s">
        <v>23</v>
      </c>
      <c r="G226" s="58">
        <v>1</v>
      </c>
      <c r="H226" s="204"/>
      <c r="I226" s="204"/>
      <c r="J226" s="88">
        <f t="shared" si="24"/>
        <v>1</v>
      </c>
      <c r="K226" s="44"/>
    </row>
    <row r="227" spans="1:11" ht="36" customHeight="1">
      <c r="A227" s="172">
        <v>2</v>
      </c>
      <c r="B227" s="282" t="s">
        <v>206</v>
      </c>
      <c r="C227" s="283"/>
      <c r="D227" s="283"/>
      <c r="E227" s="283"/>
      <c r="F227" s="283"/>
      <c r="G227" s="283"/>
      <c r="H227" s="283"/>
      <c r="I227" s="283"/>
      <c r="J227" s="283"/>
      <c r="K227" s="284"/>
    </row>
    <row r="228" spans="1:11" ht="17.25">
      <c r="A228" s="169" t="s">
        <v>208</v>
      </c>
      <c r="B228" s="277" t="s">
        <v>827</v>
      </c>
      <c r="C228" s="278"/>
      <c r="D228" s="278"/>
      <c r="E228" s="279"/>
      <c r="F228" s="167" t="s">
        <v>23</v>
      </c>
      <c r="G228" s="167">
        <v>2</v>
      </c>
      <c r="H228" s="146"/>
      <c r="I228" s="146"/>
      <c r="J228" s="175">
        <f>G228</f>
        <v>2</v>
      </c>
      <c r="K228" s="44"/>
    </row>
    <row r="229" spans="1:11" ht="17.25">
      <c r="A229" s="171" t="s">
        <v>209</v>
      </c>
      <c r="B229" s="270" t="s">
        <v>825</v>
      </c>
      <c r="C229" s="271"/>
      <c r="D229" s="271"/>
      <c r="E229" s="272"/>
      <c r="F229" s="151" t="s">
        <v>23</v>
      </c>
      <c r="G229" s="167">
        <v>1</v>
      </c>
      <c r="H229" s="143"/>
      <c r="I229" s="146"/>
      <c r="J229" s="175">
        <f t="shared" ref="J229:J230" si="25">G229</f>
        <v>1</v>
      </c>
      <c r="K229" s="44"/>
    </row>
    <row r="230" spans="1:11" ht="17.25">
      <c r="A230" s="239" t="s">
        <v>210</v>
      </c>
      <c r="B230" s="270" t="s">
        <v>826</v>
      </c>
      <c r="C230" s="271"/>
      <c r="D230" s="271"/>
      <c r="E230" s="272"/>
      <c r="F230" s="151" t="s">
        <v>23</v>
      </c>
      <c r="G230" s="167">
        <v>1</v>
      </c>
      <c r="H230" s="143"/>
      <c r="I230" s="146"/>
      <c r="J230" s="175">
        <f t="shared" si="25"/>
        <v>1</v>
      </c>
      <c r="K230" s="44"/>
    </row>
    <row r="231" spans="1:11" ht="48" customHeight="1">
      <c r="A231" s="172">
        <v>3</v>
      </c>
      <c r="B231" s="282" t="s">
        <v>207</v>
      </c>
      <c r="C231" s="283"/>
      <c r="D231" s="283"/>
      <c r="E231" s="283"/>
      <c r="F231" s="283"/>
      <c r="G231" s="283"/>
      <c r="H231" s="283"/>
      <c r="I231" s="283"/>
      <c r="J231" s="283"/>
      <c r="K231" s="284"/>
    </row>
    <row r="232" spans="1:11" ht="17.25">
      <c r="A232" s="169" t="s">
        <v>208</v>
      </c>
      <c r="B232" s="277" t="s">
        <v>827</v>
      </c>
      <c r="C232" s="278"/>
      <c r="D232" s="278"/>
      <c r="E232" s="279"/>
      <c r="F232" s="167" t="s">
        <v>23</v>
      </c>
      <c r="G232" s="146">
        <v>2</v>
      </c>
      <c r="H232" s="44"/>
      <c r="I232" s="163"/>
      <c r="J232" s="146">
        <v>2</v>
      </c>
      <c r="K232" s="44"/>
    </row>
    <row r="233" spans="1:11" ht="17.25">
      <c r="A233" s="171" t="s">
        <v>209</v>
      </c>
      <c r="B233" s="270" t="s">
        <v>825</v>
      </c>
      <c r="C233" s="271"/>
      <c r="D233" s="271"/>
      <c r="E233" s="272"/>
      <c r="F233" s="151" t="s">
        <v>23</v>
      </c>
      <c r="G233" s="143">
        <v>1</v>
      </c>
      <c r="H233" s="44"/>
      <c r="I233" s="146"/>
      <c r="J233" s="143">
        <v>1</v>
      </c>
      <c r="K233" s="44"/>
    </row>
    <row r="234" spans="1:11" ht="17.25">
      <c r="A234" s="239" t="s">
        <v>210</v>
      </c>
      <c r="B234" s="270" t="s">
        <v>826</v>
      </c>
      <c r="C234" s="271"/>
      <c r="D234" s="271"/>
      <c r="E234" s="272"/>
      <c r="F234" s="151" t="s">
        <v>23</v>
      </c>
      <c r="G234" s="143">
        <v>1</v>
      </c>
      <c r="H234" s="44"/>
      <c r="I234" s="146"/>
      <c r="J234" s="143">
        <v>1</v>
      </c>
      <c r="K234" s="44"/>
    </row>
    <row r="235" spans="1:11" ht="37.5" customHeight="1">
      <c r="A235" s="240">
        <v>4</v>
      </c>
      <c r="B235" s="280" t="s">
        <v>27</v>
      </c>
      <c r="C235" s="281"/>
      <c r="D235" s="281"/>
      <c r="E235" s="281"/>
      <c r="F235" s="281"/>
      <c r="G235" s="281"/>
      <c r="H235" s="281"/>
      <c r="I235" s="281"/>
      <c r="J235" s="281"/>
      <c r="K235" s="281"/>
    </row>
    <row r="236" spans="1:11" ht="22.5" customHeight="1">
      <c r="A236" s="169" t="s">
        <v>14</v>
      </c>
      <c r="B236" s="274" t="s">
        <v>402</v>
      </c>
      <c r="C236" s="275"/>
      <c r="D236" s="275"/>
      <c r="E236" s="276"/>
      <c r="F236" s="144"/>
      <c r="G236" s="144"/>
      <c r="H236" s="144"/>
      <c r="I236" s="204"/>
      <c r="J236" s="72"/>
      <c r="K236" s="44"/>
    </row>
    <row r="237" spans="1:11" ht="18.75">
      <c r="A237" s="171" t="s">
        <v>208</v>
      </c>
      <c r="B237" s="270" t="s">
        <v>358</v>
      </c>
      <c r="C237" s="271"/>
      <c r="D237" s="271"/>
      <c r="E237" s="272"/>
      <c r="F237" s="148" t="s">
        <v>23</v>
      </c>
      <c r="G237" s="146">
        <v>4</v>
      </c>
      <c r="H237" s="44"/>
      <c r="I237" s="204"/>
      <c r="J237" s="88">
        <f>G237</f>
        <v>4</v>
      </c>
      <c r="K237" s="44"/>
    </row>
    <row r="238" spans="1:11" ht="18.75">
      <c r="A238" s="171" t="s">
        <v>209</v>
      </c>
      <c r="B238" s="270" t="s">
        <v>359</v>
      </c>
      <c r="C238" s="271"/>
      <c r="D238" s="271"/>
      <c r="E238" s="272"/>
      <c r="F238" s="148" t="s">
        <v>23</v>
      </c>
      <c r="G238" s="146">
        <v>9</v>
      </c>
      <c r="H238" s="44"/>
      <c r="I238" s="204"/>
      <c r="J238" s="88">
        <f t="shared" ref="J238:J249" si="26">G238</f>
        <v>9</v>
      </c>
      <c r="K238" s="44"/>
    </row>
    <row r="239" spans="1:11" ht="18.75">
      <c r="A239" s="171" t="s">
        <v>208</v>
      </c>
      <c r="B239" s="270" t="s">
        <v>233</v>
      </c>
      <c r="C239" s="271"/>
      <c r="D239" s="271"/>
      <c r="E239" s="272"/>
      <c r="F239" s="148" t="s">
        <v>23</v>
      </c>
      <c r="G239" s="146">
        <v>4</v>
      </c>
      <c r="H239" s="44"/>
      <c r="I239" s="204"/>
      <c r="J239" s="88">
        <f t="shared" si="26"/>
        <v>4</v>
      </c>
      <c r="K239" s="44"/>
    </row>
    <row r="240" spans="1:11" ht="18.75">
      <c r="A240" s="171" t="s">
        <v>209</v>
      </c>
      <c r="B240" s="270" t="s">
        <v>234</v>
      </c>
      <c r="C240" s="271"/>
      <c r="D240" s="271"/>
      <c r="E240" s="272"/>
      <c r="F240" s="148" t="s">
        <v>23</v>
      </c>
      <c r="G240" s="146">
        <v>9</v>
      </c>
      <c r="H240" s="44"/>
      <c r="I240" s="204"/>
      <c r="J240" s="88">
        <f t="shared" si="26"/>
        <v>9</v>
      </c>
      <c r="K240" s="44"/>
    </row>
    <row r="241" spans="1:11" ht="18.75">
      <c r="A241" s="171" t="s">
        <v>208</v>
      </c>
      <c r="B241" s="270" t="s">
        <v>340</v>
      </c>
      <c r="C241" s="271"/>
      <c r="D241" s="271"/>
      <c r="E241" s="272"/>
      <c r="F241" s="148" t="s">
        <v>23</v>
      </c>
      <c r="G241" s="146">
        <v>5</v>
      </c>
      <c r="H241" s="44"/>
      <c r="I241" s="204"/>
      <c r="J241" s="88">
        <f t="shared" si="26"/>
        <v>5</v>
      </c>
      <c r="K241" s="44"/>
    </row>
    <row r="242" spans="1:11" ht="18.75">
      <c r="A242" s="171" t="s">
        <v>209</v>
      </c>
      <c r="B242" s="270" t="s">
        <v>360</v>
      </c>
      <c r="C242" s="271"/>
      <c r="D242" s="271"/>
      <c r="E242" s="272"/>
      <c r="F242" s="148" t="s">
        <v>23</v>
      </c>
      <c r="G242" s="146">
        <v>9</v>
      </c>
      <c r="H242" s="44"/>
      <c r="I242" s="204"/>
      <c r="J242" s="88">
        <f t="shared" si="26"/>
        <v>9</v>
      </c>
      <c r="K242" s="44"/>
    </row>
    <row r="243" spans="1:11" ht="18.75">
      <c r="A243" s="171" t="s">
        <v>211</v>
      </c>
      <c r="B243" s="270" t="s">
        <v>361</v>
      </c>
      <c r="C243" s="271"/>
      <c r="D243" s="271"/>
      <c r="E243" s="272"/>
      <c r="F243" s="148" t="s">
        <v>23</v>
      </c>
      <c r="G243" s="146">
        <v>5</v>
      </c>
      <c r="H243" s="44"/>
      <c r="I243" s="204"/>
      <c r="J243" s="88">
        <f t="shared" si="26"/>
        <v>5</v>
      </c>
      <c r="K243" s="44"/>
    </row>
    <row r="244" spans="1:11" ht="18.75">
      <c r="A244" s="171" t="s">
        <v>212</v>
      </c>
      <c r="B244" s="270" t="s">
        <v>362</v>
      </c>
      <c r="C244" s="271"/>
      <c r="D244" s="271"/>
      <c r="E244" s="272"/>
      <c r="F244" s="148" t="s">
        <v>23</v>
      </c>
      <c r="G244" s="146">
        <v>8</v>
      </c>
      <c r="H244" s="44"/>
      <c r="I244" s="204"/>
      <c r="J244" s="88">
        <f t="shared" si="26"/>
        <v>8</v>
      </c>
      <c r="K244" s="44"/>
    </row>
    <row r="245" spans="1:11" ht="18" customHeight="1">
      <c r="A245" s="171" t="s">
        <v>4</v>
      </c>
      <c r="B245" s="274" t="s">
        <v>403</v>
      </c>
      <c r="C245" s="275"/>
      <c r="D245" s="275"/>
      <c r="E245" s="276"/>
      <c r="F245" s="148"/>
      <c r="G245" s="146"/>
      <c r="H245" s="44"/>
      <c r="I245" s="204"/>
      <c r="J245" s="88"/>
      <c r="K245" s="44"/>
    </row>
    <row r="246" spans="1:11" ht="18.75">
      <c r="A246" s="171" t="s">
        <v>208</v>
      </c>
      <c r="B246" s="270" t="s">
        <v>358</v>
      </c>
      <c r="C246" s="271"/>
      <c r="D246" s="271"/>
      <c r="E246" s="272"/>
      <c r="F246" s="148" t="s">
        <v>23</v>
      </c>
      <c r="G246" s="146">
        <v>4</v>
      </c>
      <c r="H246" s="44"/>
      <c r="I246" s="204"/>
      <c r="J246" s="88">
        <f t="shared" si="26"/>
        <v>4</v>
      </c>
      <c r="K246" s="44"/>
    </row>
    <row r="247" spans="1:11" ht="18.75">
      <c r="A247" s="171" t="s">
        <v>209</v>
      </c>
      <c r="B247" s="270" t="s">
        <v>359</v>
      </c>
      <c r="C247" s="271"/>
      <c r="D247" s="271"/>
      <c r="E247" s="272"/>
      <c r="F247" s="148" t="s">
        <v>23</v>
      </c>
      <c r="G247" s="146">
        <v>3</v>
      </c>
      <c r="H247" s="44"/>
      <c r="I247" s="204"/>
      <c r="J247" s="88">
        <f t="shared" si="26"/>
        <v>3</v>
      </c>
      <c r="K247" s="44"/>
    </row>
    <row r="248" spans="1:11" ht="18.75">
      <c r="A248" s="171" t="s">
        <v>209</v>
      </c>
      <c r="B248" s="270" t="s">
        <v>404</v>
      </c>
      <c r="C248" s="271"/>
      <c r="D248" s="271"/>
      <c r="E248" s="272"/>
      <c r="F248" s="148" t="s">
        <v>23</v>
      </c>
      <c r="G248" s="146">
        <v>2</v>
      </c>
      <c r="H248" s="44"/>
      <c r="I248" s="204"/>
      <c r="J248" s="88">
        <f t="shared" si="26"/>
        <v>2</v>
      </c>
      <c r="K248" s="44"/>
    </row>
    <row r="249" spans="1:11" ht="18.75">
      <c r="A249" s="171" t="s">
        <v>210</v>
      </c>
      <c r="B249" s="206" t="s">
        <v>405</v>
      </c>
      <c r="C249" s="207"/>
      <c r="D249" s="207"/>
      <c r="E249" s="208"/>
      <c r="F249" s="148" t="s">
        <v>23</v>
      </c>
      <c r="G249" s="146">
        <v>4</v>
      </c>
      <c r="H249" s="44"/>
      <c r="I249" s="204"/>
      <c r="J249" s="88">
        <f t="shared" si="26"/>
        <v>4</v>
      </c>
      <c r="K249" s="44"/>
    </row>
    <row r="250" spans="1:11" ht="37.5" customHeight="1">
      <c r="A250" s="241">
        <v>5</v>
      </c>
      <c r="B250" s="304" t="s">
        <v>30</v>
      </c>
      <c r="C250" s="305"/>
      <c r="D250" s="305"/>
      <c r="E250" s="305"/>
      <c r="F250" s="305"/>
      <c r="G250" s="305"/>
      <c r="H250" s="305"/>
      <c r="I250" s="305"/>
      <c r="J250" s="305"/>
      <c r="K250" s="306"/>
    </row>
    <row r="251" spans="1:11">
      <c r="A251" s="242" t="s">
        <v>208</v>
      </c>
      <c r="B251" s="70" t="s">
        <v>395</v>
      </c>
      <c r="C251" s="68"/>
      <c r="D251" s="68"/>
      <c r="E251" s="68"/>
      <c r="F251" s="68"/>
      <c r="G251" s="68"/>
      <c r="H251" s="68"/>
      <c r="I251" s="68"/>
      <c r="J251" s="68"/>
      <c r="K251" s="69"/>
    </row>
    <row r="252" spans="1:11">
      <c r="A252" s="71"/>
      <c r="B252" s="4" t="s">
        <v>31</v>
      </c>
      <c r="C252" s="44"/>
      <c r="D252" s="44"/>
      <c r="E252" s="44"/>
      <c r="F252" s="44"/>
      <c r="G252" s="44"/>
      <c r="H252" s="44"/>
      <c r="I252" s="44"/>
      <c r="J252" s="13"/>
      <c r="K252" s="44"/>
    </row>
    <row r="253" spans="1:11">
      <c r="A253" s="71"/>
      <c r="B253" s="5" t="s">
        <v>386</v>
      </c>
      <c r="C253" s="44" t="s">
        <v>13</v>
      </c>
      <c r="D253" s="44"/>
      <c r="E253" s="44" t="s">
        <v>387</v>
      </c>
      <c r="F253" s="44"/>
      <c r="G253" s="44">
        <f>1*27</f>
        <v>27</v>
      </c>
      <c r="H253" s="44" t="s">
        <v>33</v>
      </c>
      <c r="I253" s="44"/>
      <c r="J253" s="13"/>
      <c r="K253" s="44"/>
    </row>
    <row r="254" spans="1:11">
      <c r="A254" s="71"/>
      <c r="B254" s="44" t="s">
        <v>34</v>
      </c>
      <c r="C254" s="44" t="s">
        <v>29</v>
      </c>
      <c r="D254" s="44" t="s">
        <v>32</v>
      </c>
      <c r="E254" s="44" t="s">
        <v>388</v>
      </c>
      <c r="F254" s="44"/>
      <c r="G254" s="44">
        <f>70*3</f>
        <v>210</v>
      </c>
      <c r="H254" s="44" t="s">
        <v>33</v>
      </c>
      <c r="I254" s="44"/>
      <c r="J254" s="13"/>
      <c r="K254" s="44"/>
    </row>
    <row r="255" spans="1:11">
      <c r="A255" s="71"/>
      <c r="B255" s="4" t="s">
        <v>390</v>
      </c>
      <c r="C255" s="44"/>
      <c r="D255" s="44"/>
      <c r="E255" s="44"/>
      <c r="F255" s="44"/>
      <c r="G255" s="44"/>
      <c r="H255" s="44"/>
      <c r="I255" s="44"/>
      <c r="J255" s="13"/>
      <c r="K255" s="44"/>
    </row>
    <row r="256" spans="1:11">
      <c r="A256" s="71"/>
      <c r="B256" s="44" t="s">
        <v>34</v>
      </c>
      <c r="C256" s="44" t="s">
        <v>10</v>
      </c>
      <c r="D256" s="44" t="s">
        <v>32</v>
      </c>
      <c r="E256" s="44" t="s">
        <v>393</v>
      </c>
      <c r="F256" s="44"/>
      <c r="G256" s="44">
        <f>4*32</f>
        <v>128</v>
      </c>
      <c r="H256" s="44" t="s">
        <v>33</v>
      </c>
      <c r="I256" s="44"/>
      <c r="J256" s="13"/>
      <c r="K256" s="44"/>
    </row>
    <row r="257" spans="1:11">
      <c r="A257" s="71"/>
      <c r="B257" s="4" t="s">
        <v>391</v>
      </c>
      <c r="C257" s="44"/>
      <c r="D257" s="44"/>
      <c r="E257" s="44"/>
      <c r="F257" s="44"/>
      <c r="G257" s="44"/>
      <c r="H257" s="44"/>
      <c r="I257" s="44"/>
      <c r="J257" s="13"/>
      <c r="K257" s="44"/>
    </row>
    <row r="258" spans="1:11">
      <c r="A258" s="71"/>
      <c r="B258" s="5" t="s">
        <v>34</v>
      </c>
      <c r="C258" s="44" t="s">
        <v>29</v>
      </c>
      <c r="D258" s="44" t="s">
        <v>32</v>
      </c>
      <c r="E258" s="44" t="s">
        <v>392</v>
      </c>
      <c r="F258" s="44"/>
      <c r="G258" s="44">
        <f>3*28</f>
        <v>84</v>
      </c>
      <c r="H258" s="44" t="s">
        <v>33</v>
      </c>
      <c r="I258" s="44"/>
      <c r="J258" s="13"/>
      <c r="K258" s="44"/>
    </row>
    <row r="259" spans="1:11">
      <c r="A259" s="71"/>
      <c r="B259" s="4" t="s">
        <v>36</v>
      </c>
      <c r="C259" s="44"/>
      <c r="D259" s="44"/>
      <c r="E259" s="44"/>
      <c r="F259" s="44"/>
      <c r="G259" s="44"/>
      <c r="H259" s="44"/>
      <c r="I259" s="44"/>
      <c r="J259" s="13"/>
      <c r="K259" s="44"/>
    </row>
    <row r="260" spans="1:11">
      <c r="A260" s="71"/>
      <c r="B260" s="44" t="s">
        <v>34</v>
      </c>
      <c r="C260" s="44" t="s">
        <v>13</v>
      </c>
      <c r="D260" s="44" t="s">
        <v>32</v>
      </c>
      <c r="E260" s="44" t="s">
        <v>389</v>
      </c>
      <c r="F260" s="44"/>
      <c r="G260" s="44">
        <v>21</v>
      </c>
      <c r="H260" s="44" t="s">
        <v>33</v>
      </c>
      <c r="I260" s="44"/>
      <c r="J260" s="13"/>
      <c r="K260" s="44"/>
    </row>
    <row r="261" spans="1:11">
      <c r="A261" s="71"/>
      <c r="B261" s="4" t="s">
        <v>396</v>
      </c>
      <c r="C261" s="44"/>
      <c r="D261" s="44"/>
      <c r="E261" s="44"/>
      <c r="F261" s="44"/>
      <c r="G261" s="44"/>
      <c r="H261" s="44"/>
      <c r="I261" s="44"/>
      <c r="J261" s="13"/>
      <c r="K261" s="44"/>
    </row>
    <row r="262" spans="1:11">
      <c r="A262" s="71"/>
      <c r="B262" s="44" t="s">
        <v>34</v>
      </c>
      <c r="C262" s="44" t="s">
        <v>398</v>
      </c>
      <c r="D262" s="44" t="s">
        <v>32</v>
      </c>
      <c r="E262" s="44" t="s">
        <v>397</v>
      </c>
      <c r="F262" s="44"/>
      <c r="G262" s="44">
        <f>50*1</f>
        <v>50</v>
      </c>
      <c r="H262" s="44" t="s">
        <v>33</v>
      </c>
      <c r="I262" s="44"/>
      <c r="J262" s="13"/>
      <c r="K262" s="44"/>
    </row>
    <row r="263" spans="1:11">
      <c r="A263" s="71"/>
      <c r="B263" s="44"/>
      <c r="C263" s="44"/>
      <c r="D263" s="44"/>
      <c r="E263" s="44"/>
      <c r="F263" s="44"/>
      <c r="G263" s="4">
        <f>SUM(G253:G262)</f>
        <v>520</v>
      </c>
      <c r="H263" s="4" t="s">
        <v>33</v>
      </c>
      <c r="I263" s="44"/>
      <c r="J263" s="13"/>
      <c r="K263" s="44"/>
    </row>
    <row r="264" spans="1:11">
      <c r="A264" s="242" t="s">
        <v>209</v>
      </c>
      <c r="B264" s="70" t="s">
        <v>394</v>
      </c>
      <c r="C264" s="68"/>
      <c r="D264" s="68"/>
      <c r="E264" s="68"/>
      <c r="F264" s="68"/>
      <c r="G264" s="68"/>
      <c r="H264" s="68"/>
      <c r="I264" s="68"/>
      <c r="J264" s="68"/>
      <c r="K264" s="69"/>
    </row>
    <row r="265" spans="1:11">
      <c r="A265" s="71"/>
      <c r="B265" s="4" t="s">
        <v>31</v>
      </c>
      <c r="C265" s="44"/>
      <c r="D265" s="44"/>
      <c r="E265" s="44"/>
      <c r="F265" s="44"/>
      <c r="G265" s="44"/>
      <c r="H265" s="44"/>
      <c r="I265" s="44"/>
      <c r="J265" s="13"/>
      <c r="K265" s="44"/>
    </row>
    <row r="266" spans="1:11">
      <c r="A266" s="71"/>
      <c r="B266" s="44" t="s">
        <v>34</v>
      </c>
      <c r="C266" s="44" t="s">
        <v>13</v>
      </c>
      <c r="D266" s="44" t="s">
        <v>32</v>
      </c>
      <c r="E266" s="44" t="s">
        <v>388</v>
      </c>
      <c r="F266" s="44"/>
      <c r="G266" s="44">
        <f>69*1</f>
        <v>69</v>
      </c>
      <c r="H266" s="44" t="s">
        <v>33</v>
      </c>
      <c r="I266" s="44"/>
      <c r="J266" s="13"/>
      <c r="K266" s="44"/>
    </row>
    <row r="267" spans="1:11">
      <c r="A267" s="71"/>
      <c r="B267" s="4" t="s">
        <v>396</v>
      </c>
      <c r="C267" s="44"/>
      <c r="D267" s="44"/>
      <c r="E267" s="44"/>
      <c r="F267" s="44"/>
      <c r="G267" s="44"/>
      <c r="H267" s="44"/>
      <c r="I267" s="44"/>
      <c r="J267" s="13"/>
      <c r="K267" s="44"/>
    </row>
    <row r="268" spans="1:11">
      <c r="A268" s="71"/>
      <c r="B268" s="44" t="s">
        <v>34</v>
      </c>
      <c r="C268" s="44" t="s">
        <v>953</v>
      </c>
      <c r="D268" s="44" t="s">
        <v>32</v>
      </c>
      <c r="E268" s="44" t="s">
        <v>397</v>
      </c>
      <c r="F268" s="44"/>
      <c r="G268" s="44">
        <f>50*4</f>
        <v>200</v>
      </c>
      <c r="H268" s="44" t="s">
        <v>33</v>
      </c>
      <c r="I268" s="44"/>
      <c r="J268" s="13"/>
      <c r="K268" s="44"/>
    </row>
    <row r="269" spans="1:11">
      <c r="A269" s="71"/>
      <c r="B269" s="44" t="s">
        <v>400</v>
      </c>
      <c r="C269" s="44" t="s">
        <v>398</v>
      </c>
      <c r="D269" s="44" t="s">
        <v>32</v>
      </c>
      <c r="E269" s="44" t="s">
        <v>399</v>
      </c>
      <c r="F269" s="44"/>
      <c r="G269" s="44">
        <v>128</v>
      </c>
      <c r="H269" s="44" t="s">
        <v>33</v>
      </c>
      <c r="I269" s="44"/>
      <c r="J269" s="13"/>
      <c r="K269" s="44"/>
    </row>
    <row r="270" spans="1:11">
      <c r="A270" s="71"/>
      <c r="B270" s="4" t="s">
        <v>36</v>
      </c>
      <c r="C270" s="44"/>
      <c r="D270" s="44"/>
      <c r="E270" s="44"/>
      <c r="F270" s="44"/>
      <c r="G270" s="44"/>
      <c r="H270" s="44"/>
      <c r="I270" s="44"/>
      <c r="J270" s="13"/>
      <c r="K270" s="44"/>
    </row>
    <row r="271" spans="1:11">
      <c r="A271" s="71"/>
      <c r="B271" s="44" t="s">
        <v>34</v>
      </c>
      <c r="C271" s="44" t="s">
        <v>13</v>
      </c>
      <c r="D271" s="44" t="s">
        <v>32</v>
      </c>
      <c r="E271" s="44" t="s">
        <v>389</v>
      </c>
      <c r="F271" s="44"/>
      <c r="G271" s="44">
        <v>20</v>
      </c>
      <c r="H271" s="44" t="s">
        <v>33</v>
      </c>
      <c r="I271" s="44"/>
      <c r="J271" s="13"/>
      <c r="K271" s="44"/>
    </row>
    <row r="272" spans="1:11">
      <c r="A272" s="71"/>
      <c r="B272" s="4" t="s">
        <v>401</v>
      </c>
      <c r="C272" s="44"/>
      <c r="D272" s="44"/>
      <c r="E272" s="44"/>
      <c r="F272" s="44"/>
      <c r="G272" s="44"/>
      <c r="H272" s="44"/>
      <c r="I272" s="44"/>
      <c r="J272" s="13"/>
      <c r="K272" s="44"/>
    </row>
    <row r="273" spans="1:11">
      <c r="A273" s="71"/>
      <c r="B273" s="44" t="s">
        <v>400</v>
      </c>
      <c r="C273" s="44" t="s">
        <v>13</v>
      </c>
      <c r="D273" s="44" t="s">
        <v>32</v>
      </c>
      <c r="E273" s="44" t="s">
        <v>35</v>
      </c>
      <c r="F273" s="44"/>
      <c r="G273" s="44">
        <v>70</v>
      </c>
      <c r="H273" s="44" t="s">
        <v>33</v>
      </c>
      <c r="I273" s="44"/>
      <c r="J273" s="13"/>
      <c r="K273" s="44"/>
    </row>
    <row r="274" spans="1:11">
      <c r="A274" s="71"/>
      <c r="B274" s="44"/>
      <c r="C274" s="44"/>
      <c r="D274" s="44"/>
      <c r="E274" s="44"/>
      <c r="F274" s="44"/>
      <c r="G274" s="4">
        <f>SUM(G266:G273)</f>
        <v>487</v>
      </c>
      <c r="H274" s="4" t="s">
        <v>33</v>
      </c>
      <c r="I274" s="44"/>
      <c r="J274" s="13"/>
      <c r="K274" s="44"/>
    </row>
    <row r="275" spans="1:11" ht="103.5" customHeight="1">
      <c r="A275" s="243">
        <v>6</v>
      </c>
      <c r="B275" s="273" t="str">
        <f>'[1]FINAL OHT abs '!$B$7</f>
        <v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including centering &amp; shuttering using steel scaffolding pipes, jack props, wallers, foot plates, brackets, steel centering plates weigh batcher etc machine mixing, laying concrete, vibrating, finishing smooth to required levels, curing, pumping to work spot, lifting of material with  mechanical equipment like winch, etc., all other incidental and operational charges, all labour charges, etc.,  but excluding cost of steel and its fabrication charges etc., complete as directed by Engineer-in-Charge for the following finished items of work,  excluding GST &amp; seigniorage charges.  </v>
      </c>
      <c r="C275" s="273"/>
      <c r="D275" s="273"/>
      <c r="E275" s="273"/>
      <c r="F275" s="273"/>
      <c r="G275" s="273"/>
      <c r="H275" s="273"/>
      <c r="I275" s="273"/>
      <c r="J275" s="273"/>
      <c r="K275" s="273"/>
    </row>
    <row r="276" spans="1:11" ht="17.25">
      <c r="A276" s="171" t="s">
        <v>208</v>
      </c>
      <c r="B276" s="267" t="s">
        <v>380</v>
      </c>
      <c r="C276" s="268"/>
      <c r="D276" s="268"/>
      <c r="E276" s="269"/>
      <c r="F276" s="173" t="s">
        <v>49</v>
      </c>
      <c r="G276" s="174">
        <v>1</v>
      </c>
      <c r="H276" s="174"/>
      <c r="I276" s="44"/>
      <c r="J276" s="55">
        <f>G276</f>
        <v>1</v>
      </c>
      <c r="K276" s="44"/>
    </row>
    <row r="277" spans="1:11" ht="17.25">
      <c r="A277" s="171" t="s">
        <v>209</v>
      </c>
      <c r="B277" s="267" t="s">
        <v>379</v>
      </c>
      <c r="C277" s="268"/>
      <c r="D277" s="268"/>
      <c r="E277" s="269"/>
      <c r="F277" s="173" t="s">
        <v>49</v>
      </c>
      <c r="G277" s="174">
        <v>1</v>
      </c>
      <c r="H277" s="174"/>
      <c r="I277" s="44"/>
      <c r="J277" s="55">
        <f>G277</f>
        <v>1</v>
      </c>
      <c r="K277" s="44"/>
    </row>
    <row r="278" spans="1:11" ht="17.25">
      <c r="A278" s="171" t="s">
        <v>210</v>
      </c>
      <c r="B278" s="209" t="s">
        <v>897</v>
      </c>
      <c r="C278" s="210"/>
      <c r="D278" s="210"/>
      <c r="E278" s="211"/>
      <c r="F278" s="173" t="s">
        <v>49</v>
      </c>
      <c r="G278" s="174">
        <v>3</v>
      </c>
      <c r="H278" s="174"/>
      <c r="I278" s="44"/>
      <c r="J278" s="55">
        <f>G278</f>
        <v>3</v>
      </c>
      <c r="K278" s="44"/>
    </row>
    <row r="279" spans="1:11" ht="53.25" customHeight="1">
      <c r="A279" s="169">
        <v>7</v>
      </c>
      <c r="B279" s="261" t="s">
        <v>331</v>
      </c>
      <c r="C279" s="262"/>
      <c r="D279" s="262"/>
      <c r="E279" s="262"/>
      <c r="F279" s="262"/>
      <c r="G279" s="262"/>
      <c r="H279" s="262"/>
      <c r="I279" s="262"/>
      <c r="J279" s="262"/>
      <c r="K279" s="263"/>
    </row>
    <row r="280" spans="1:11" ht="17.25">
      <c r="A280" s="169" t="s">
        <v>208</v>
      </c>
      <c r="B280" s="258" t="s">
        <v>408</v>
      </c>
      <c r="C280" s="259"/>
      <c r="D280" s="259"/>
      <c r="E280" s="260"/>
      <c r="F280" s="151" t="s">
        <v>332</v>
      </c>
      <c r="G280" s="143">
        <v>1</v>
      </c>
      <c r="H280" s="44"/>
      <c r="I280" s="44"/>
      <c r="J280" s="44"/>
      <c r="K280" s="44"/>
    </row>
    <row r="281" spans="1:11" ht="17.25">
      <c r="A281" s="169" t="s">
        <v>209</v>
      </c>
      <c r="B281" s="258" t="s">
        <v>409</v>
      </c>
      <c r="C281" s="259"/>
      <c r="D281" s="259"/>
      <c r="E281" s="260"/>
      <c r="F281" s="151" t="s">
        <v>332</v>
      </c>
      <c r="G281" s="143">
        <v>1</v>
      </c>
      <c r="H281" s="44"/>
      <c r="I281" s="44"/>
      <c r="J281" s="44"/>
      <c r="K281" s="44"/>
    </row>
    <row r="282" spans="1:11" ht="40.5" customHeight="1">
      <c r="A282" s="169">
        <v>8</v>
      </c>
      <c r="B282" s="261" t="s">
        <v>333</v>
      </c>
      <c r="C282" s="262"/>
      <c r="D282" s="262"/>
      <c r="E282" s="262"/>
      <c r="F282" s="262"/>
      <c r="G282" s="262"/>
      <c r="H282" s="262"/>
      <c r="I282" s="262"/>
      <c r="J282" s="262"/>
      <c r="K282" s="263"/>
    </row>
    <row r="283" spans="1:11" ht="17.25">
      <c r="A283" s="169" t="s">
        <v>208</v>
      </c>
      <c r="B283" s="258" t="s">
        <v>408</v>
      </c>
      <c r="C283" s="259"/>
      <c r="D283" s="259"/>
      <c r="E283" s="260"/>
      <c r="F283" s="151" t="s">
        <v>23</v>
      </c>
      <c r="G283" s="143">
        <v>1</v>
      </c>
      <c r="H283" s="44"/>
      <c r="I283" s="44"/>
      <c r="J283" s="44"/>
      <c r="K283" s="44"/>
    </row>
    <row r="284" spans="1:11" ht="17.25">
      <c r="A284" s="169" t="s">
        <v>209</v>
      </c>
      <c r="B284" s="258" t="s">
        <v>409</v>
      </c>
      <c r="C284" s="259"/>
      <c r="D284" s="259"/>
      <c r="E284" s="260"/>
      <c r="F284" s="151" t="s">
        <v>23</v>
      </c>
      <c r="G284" s="143">
        <v>1</v>
      </c>
      <c r="H284" s="44"/>
      <c r="I284" s="44"/>
      <c r="J284" s="44"/>
      <c r="K284" s="44"/>
    </row>
    <row r="285" spans="1:11" ht="51" customHeight="1">
      <c r="A285" s="176">
        <v>9</v>
      </c>
      <c r="B285" s="261" t="s">
        <v>334</v>
      </c>
      <c r="C285" s="262"/>
      <c r="D285" s="262"/>
      <c r="E285" s="262"/>
      <c r="F285" s="262"/>
      <c r="G285" s="262"/>
      <c r="H285" s="262"/>
      <c r="I285" s="262"/>
      <c r="J285" s="262"/>
      <c r="K285" s="263"/>
    </row>
    <row r="286" spans="1:11" ht="17.25">
      <c r="A286" s="177" t="s">
        <v>208</v>
      </c>
      <c r="B286" s="212" t="s">
        <v>402</v>
      </c>
      <c r="C286" s="213"/>
      <c r="D286" s="213"/>
      <c r="E286" s="214"/>
      <c r="F286" s="151" t="s">
        <v>40</v>
      </c>
      <c r="G286" s="143">
        <v>100</v>
      </c>
      <c r="H286" s="44"/>
      <c r="I286" s="44"/>
      <c r="J286" s="44"/>
      <c r="K286" s="44"/>
    </row>
    <row r="287" spans="1:11" ht="17.25">
      <c r="A287" s="177" t="s">
        <v>209</v>
      </c>
      <c r="B287" s="264" t="s">
        <v>403</v>
      </c>
      <c r="C287" s="265"/>
      <c r="D287" s="265"/>
      <c r="E287" s="266"/>
      <c r="F287" s="151" t="s">
        <v>40</v>
      </c>
      <c r="G287" s="143">
        <v>45</v>
      </c>
      <c r="H287" s="44"/>
      <c r="I287" s="44"/>
      <c r="J287" s="44"/>
      <c r="K287" s="44"/>
    </row>
    <row r="288" spans="1:11" ht="17.25">
      <c r="A288" s="177" t="s">
        <v>210</v>
      </c>
      <c r="B288" s="258" t="s">
        <v>335</v>
      </c>
      <c r="C288" s="259"/>
      <c r="D288" s="259"/>
      <c r="E288" s="260"/>
      <c r="F288" s="151" t="s">
        <v>40</v>
      </c>
      <c r="G288" s="143">
        <v>135</v>
      </c>
      <c r="H288" s="44"/>
      <c r="I288" s="44"/>
      <c r="J288" s="44"/>
      <c r="K288" s="44"/>
    </row>
  </sheetData>
  <mergeCells count="76">
    <mergeCell ref="B223:K223"/>
    <mergeCell ref="B225:E225"/>
    <mergeCell ref="B229:E229"/>
    <mergeCell ref="B227:K227"/>
    <mergeCell ref="A212:A213"/>
    <mergeCell ref="B212:B213"/>
    <mergeCell ref="G220:I220"/>
    <mergeCell ref="A183:A184"/>
    <mergeCell ref="B183:B184"/>
    <mergeCell ref="A191:A192"/>
    <mergeCell ref="B191:B192"/>
    <mergeCell ref="A204:A205"/>
    <mergeCell ref="B204:B205"/>
    <mergeCell ref="A151:A152"/>
    <mergeCell ref="B151:B152"/>
    <mergeCell ref="A163:A164"/>
    <mergeCell ref="B163:B164"/>
    <mergeCell ref="A171:A172"/>
    <mergeCell ref="B171:B172"/>
    <mergeCell ref="A126:A127"/>
    <mergeCell ref="B126:B127"/>
    <mergeCell ref="A131:A132"/>
    <mergeCell ref="B131:B132"/>
    <mergeCell ref="A143:A144"/>
    <mergeCell ref="B143:B144"/>
    <mergeCell ref="C93:G93"/>
    <mergeCell ref="H118:I118"/>
    <mergeCell ref="A120:K120"/>
    <mergeCell ref="C121:G121"/>
    <mergeCell ref="A122:A125"/>
    <mergeCell ref="B122:B125"/>
    <mergeCell ref="C70:E70"/>
    <mergeCell ref="F78:G78"/>
    <mergeCell ref="A80:H80"/>
    <mergeCell ref="C81:E81"/>
    <mergeCell ref="A92:K92"/>
    <mergeCell ref="A1:K1"/>
    <mergeCell ref="A2:G2"/>
    <mergeCell ref="A11:J11"/>
    <mergeCell ref="A60:H60"/>
    <mergeCell ref="A69:I69"/>
    <mergeCell ref="B230:E230"/>
    <mergeCell ref="B228:E228"/>
    <mergeCell ref="B226:E226"/>
    <mergeCell ref="B224:E224"/>
    <mergeCell ref="B235:K235"/>
    <mergeCell ref="B233:E233"/>
    <mergeCell ref="B231:K231"/>
    <mergeCell ref="B232:E232"/>
    <mergeCell ref="B234:E234"/>
    <mergeCell ref="B236:E236"/>
    <mergeCell ref="B237:E237"/>
    <mergeCell ref="B238:E238"/>
    <mergeCell ref="B239:E239"/>
    <mergeCell ref="B240:E240"/>
    <mergeCell ref="B241:E241"/>
    <mergeCell ref="B242:E242"/>
    <mergeCell ref="B243:E243"/>
    <mergeCell ref="B244:E244"/>
    <mergeCell ref="B245:E245"/>
    <mergeCell ref="B276:E276"/>
    <mergeCell ref="B277:E277"/>
    <mergeCell ref="B280:E280"/>
    <mergeCell ref="B281:E281"/>
    <mergeCell ref="B246:E246"/>
    <mergeCell ref="B247:E247"/>
    <mergeCell ref="B248:E248"/>
    <mergeCell ref="B275:K275"/>
    <mergeCell ref="B250:K250"/>
    <mergeCell ref="B288:E288"/>
    <mergeCell ref="B279:K279"/>
    <mergeCell ref="B282:K282"/>
    <mergeCell ref="B285:K285"/>
    <mergeCell ref="B283:E283"/>
    <mergeCell ref="B284:E284"/>
    <mergeCell ref="B287:E2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66"/>
  <sheetViews>
    <sheetView topLeftCell="A24" workbookViewId="0">
      <selection activeCell="H27" sqref="H27"/>
    </sheetView>
  </sheetViews>
  <sheetFormatPr defaultRowHeight="15"/>
  <cols>
    <col min="2" max="2" width="52.5703125" customWidth="1"/>
    <col min="4" max="4" width="12" customWidth="1"/>
    <col min="5" max="5" width="14.42578125" customWidth="1"/>
    <col min="7" max="7" width="11.28515625" customWidth="1"/>
    <col min="8" max="8" width="13.28515625" customWidth="1"/>
    <col min="9" max="9" width="15.140625" customWidth="1"/>
    <col min="11" max="11" width="9.5703125" bestFit="1" customWidth="1"/>
  </cols>
  <sheetData>
    <row r="1" spans="1:11">
      <c r="A1" s="291" t="s">
        <v>38</v>
      </c>
      <c r="B1" s="291"/>
      <c r="C1" s="291"/>
      <c r="D1" s="291"/>
      <c r="E1" s="291"/>
      <c r="F1" s="291"/>
      <c r="G1" s="291"/>
      <c r="H1" s="291"/>
      <c r="I1" s="291"/>
      <c r="J1" s="291"/>
      <c r="K1" s="291"/>
    </row>
    <row r="2" spans="1:11" ht="26.25">
      <c r="A2" s="286" t="s">
        <v>609</v>
      </c>
      <c r="B2" s="286"/>
      <c r="C2" s="286"/>
      <c r="D2" s="286"/>
      <c r="E2" s="286"/>
      <c r="F2" s="286"/>
      <c r="G2" s="286"/>
      <c r="H2" s="286"/>
      <c r="I2" s="286"/>
      <c r="J2" s="98"/>
      <c r="K2" s="98"/>
    </row>
    <row r="3" spans="1:11" ht="18.75">
      <c r="A3" s="43" t="s">
        <v>0</v>
      </c>
      <c r="B3" s="43" t="s">
        <v>417</v>
      </c>
      <c r="C3" s="288" t="s">
        <v>430</v>
      </c>
      <c r="D3" s="289"/>
      <c r="E3" s="290"/>
      <c r="F3" s="99" t="s">
        <v>3</v>
      </c>
      <c r="G3" s="99" t="s">
        <v>4</v>
      </c>
      <c r="H3" s="43" t="s">
        <v>418</v>
      </c>
      <c r="I3" s="43" t="s">
        <v>238</v>
      </c>
      <c r="J3" s="98"/>
      <c r="K3" s="98"/>
    </row>
    <row r="4" spans="1:11" ht="18.75">
      <c r="A4" s="47">
        <v>5</v>
      </c>
      <c r="B4" s="8" t="s">
        <v>610</v>
      </c>
      <c r="C4" s="89"/>
      <c r="D4" s="89"/>
      <c r="E4" s="87"/>
      <c r="F4" s="47"/>
      <c r="G4" s="47"/>
      <c r="H4" s="100"/>
      <c r="I4" s="47"/>
      <c r="J4" s="98"/>
      <c r="K4" s="98"/>
    </row>
    <row r="5" spans="1:11" ht="18.75">
      <c r="A5" s="47"/>
      <c r="B5" s="47" t="s">
        <v>611</v>
      </c>
      <c r="C5" s="87">
        <v>1</v>
      </c>
      <c r="D5" s="89" t="s">
        <v>509</v>
      </c>
      <c r="E5" s="87">
        <v>3.14</v>
      </c>
      <c r="F5" s="88">
        <v>6.5</v>
      </c>
      <c r="G5" s="88">
        <v>6.5</v>
      </c>
      <c r="H5" s="101">
        <f>ROUND((G5*F5*E5*C5),2)</f>
        <v>132.66999999999999</v>
      </c>
      <c r="I5" s="47"/>
      <c r="J5" s="98"/>
      <c r="K5" s="98"/>
    </row>
    <row r="6" spans="1:11" ht="18.75">
      <c r="A6" s="47"/>
      <c r="B6" s="47" t="s">
        <v>612</v>
      </c>
      <c r="C6" s="87">
        <v>1</v>
      </c>
      <c r="D6" s="89" t="s">
        <v>509</v>
      </c>
      <c r="E6" s="87">
        <v>3.14</v>
      </c>
      <c r="F6" s="88">
        <v>13</v>
      </c>
      <c r="G6" s="88">
        <v>4</v>
      </c>
      <c r="H6" s="101">
        <f t="shared" ref="H6:H9" si="0">ROUND((G6*F6*E6*C6),2)</f>
        <v>163.28</v>
      </c>
      <c r="I6" s="47"/>
      <c r="J6" s="98"/>
      <c r="K6" s="98"/>
    </row>
    <row r="7" spans="1:11" ht="18.75">
      <c r="A7" s="47"/>
      <c r="B7" s="47" t="s">
        <v>613</v>
      </c>
      <c r="C7" s="87">
        <v>8</v>
      </c>
      <c r="D7" s="89" t="s">
        <v>509</v>
      </c>
      <c r="E7" s="88">
        <v>3</v>
      </c>
      <c r="F7" s="88">
        <v>4</v>
      </c>
      <c r="G7" s="102">
        <v>0.3</v>
      </c>
      <c r="H7" s="101">
        <f t="shared" si="0"/>
        <v>28.8</v>
      </c>
      <c r="I7" s="47"/>
      <c r="J7" s="98"/>
      <c r="K7" s="98"/>
    </row>
    <row r="8" spans="1:11" ht="18.75">
      <c r="A8" s="47"/>
      <c r="B8" s="47" t="s">
        <v>614</v>
      </c>
      <c r="C8" s="87">
        <v>1</v>
      </c>
      <c r="D8" s="89" t="s">
        <v>509</v>
      </c>
      <c r="E8" s="87">
        <v>3.14</v>
      </c>
      <c r="F8" s="88">
        <v>6.9</v>
      </c>
      <c r="G8" s="88">
        <v>6.9</v>
      </c>
      <c r="H8" s="101">
        <f t="shared" si="0"/>
        <v>149.5</v>
      </c>
      <c r="I8" s="47"/>
      <c r="J8" s="98"/>
      <c r="K8" s="98"/>
    </row>
    <row r="9" spans="1:11" ht="18.75">
      <c r="A9" s="47"/>
      <c r="B9" s="47" t="s">
        <v>615</v>
      </c>
      <c r="C9" s="87">
        <v>1</v>
      </c>
      <c r="D9" s="89" t="s">
        <v>509</v>
      </c>
      <c r="E9" s="87">
        <v>3.14</v>
      </c>
      <c r="F9" s="88">
        <v>13.8</v>
      </c>
      <c r="G9" s="87">
        <v>0.15</v>
      </c>
      <c r="H9" s="101">
        <f t="shared" si="0"/>
        <v>6.5</v>
      </c>
      <c r="I9" s="47"/>
      <c r="J9" s="98"/>
      <c r="K9" s="98"/>
    </row>
    <row r="10" spans="1:11" ht="21">
      <c r="A10" s="47"/>
      <c r="B10" s="47"/>
      <c r="C10" s="47"/>
      <c r="D10" s="47"/>
      <c r="E10" s="47"/>
      <c r="F10" s="293" t="s">
        <v>616</v>
      </c>
      <c r="G10" s="295"/>
      <c r="H10" s="74">
        <f>SUM(H5:H9)</f>
        <v>480.75</v>
      </c>
      <c r="I10" s="89" t="s">
        <v>56</v>
      </c>
      <c r="J10" s="98"/>
      <c r="K10" s="98"/>
    </row>
    <row r="11" spans="1:11">
      <c r="A11" s="98"/>
      <c r="B11" s="98"/>
      <c r="C11" s="98"/>
      <c r="D11" s="98"/>
      <c r="E11" s="98"/>
      <c r="F11" s="98"/>
      <c r="G11" s="98"/>
      <c r="H11" s="98"/>
      <c r="I11" s="98"/>
      <c r="J11" s="98"/>
      <c r="K11" s="98"/>
    </row>
    <row r="12" spans="1:11" ht="26.25">
      <c r="A12" s="286" t="s">
        <v>617</v>
      </c>
      <c r="B12" s="286"/>
      <c r="C12" s="286"/>
      <c r="D12" s="286"/>
      <c r="E12" s="286"/>
      <c r="F12" s="286"/>
      <c r="G12" s="286"/>
      <c r="H12" s="286"/>
      <c r="I12" s="286"/>
      <c r="J12" s="98"/>
      <c r="K12" s="98"/>
    </row>
    <row r="13" spans="1:11" ht="18.75">
      <c r="A13" s="43" t="s">
        <v>0</v>
      </c>
      <c r="B13" s="43" t="s">
        <v>417</v>
      </c>
      <c r="C13" s="288" t="s">
        <v>430</v>
      </c>
      <c r="D13" s="289"/>
      <c r="E13" s="290"/>
      <c r="F13" s="99" t="s">
        <v>3</v>
      </c>
      <c r="G13" s="99" t="s">
        <v>4</v>
      </c>
      <c r="H13" s="43" t="s">
        <v>418</v>
      </c>
      <c r="I13" s="43" t="s">
        <v>238</v>
      </c>
      <c r="J13" s="98"/>
      <c r="K13" s="98"/>
    </row>
    <row r="14" spans="1:11" ht="18.75">
      <c r="A14" s="47">
        <v>5</v>
      </c>
      <c r="B14" s="8" t="s">
        <v>618</v>
      </c>
      <c r="C14" s="89"/>
      <c r="D14" s="89"/>
      <c r="E14" s="87"/>
      <c r="F14" s="47"/>
      <c r="G14" s="47"/>
      <c r="H14" s="100"/>
      <c r="I14" s="47"/>
      <c r="J14" s="98"/>
      <c r="K14" s="98"/>
    </row>
    <row r="15" spans="1:11" ht="18.75">
      <c r="A15" s="47"/>
      <c r="B15" s="47" t="s">
        <v>619</v>
      </c>
      <c r="C15" s="87">
        <v>1</v>
      </c>
      <c r="D15" s="89" t="s">
        <v>509</v>
      </c>
      <c r="E15" s="87">
        <v>3.14</v>
      </c>
      <c r="F15" s="88">
        <v>6.5</v>
      </c>
      <c r="G15" s="88">
        <v>6.5</v>
      </c>
      <c r="H15" s="101">
        <f>ROUND((G15*F15*E15*C15),2)</f>
        <v>132.66999999999999</v>
      </c>
      <c r="I15" s="47"/>
      <c r="J15" s="98"/>
      <c r="K15" s="98"/>
    </row>
    <row r="16" spans="1:11" ht="18.75">
      <c r="A16" s="47"/>
      <c r="B16" s="47" t="s">
        <v>620</v>
      </c>
      <c r="C16" s="87">
        <v>1</v>
      </c>
      <c r="D16" s="89" t="s">
        <v>509</v>
      </c>
      <c r="E16" s="87">
        <v>3.14</v>
      </c>
      <c r="F16" s="88">
        <v>13</v>
      </c>
      <c r="G16" s="88">
        <v>4</v>
      </c>
      <c r="H16" s="101">
        <f t="shared" ref="H16:H20" si="1">ROUND((G16*F16*E16*C16),2)</f>
        <v>163.28</v>
      </c>
      <c r="I16" s="47"/>
      <c r="J16" s="98"/>
      <c r="K16" s="98"/>
    </row>
    <row r="17" spans="1:11" ht="18.75">
      <c r="A17" s="47"/>
      <c r="B17" s="47" t="s">
        <v>621</v>
      </c>
      <c r="C17" s="87">
        <v>8</v>
      </c>
      <c r="D17" s="89" t="s">
        <v>509</v>
      </c>
      <c r="E17" s="88">
        <v>3</v>
      </c>
      <c r="F17" s="88">
        <v>4</v>
      </c>
      <c r="G17" s="102">
        <v>0.3</v>
      </c>
      <c r="H17" s="101">
        <f t="shared" si="1"/>
        <v>28.8</v>
      </c>
      <c r="I17" s="47"/>
      <c r="J17" s="98"/>
      <c r="K17" s="98"/>
    </row>
    <row r="18" spans="1:11" ht="18.75">
      <c r="A18" s="47"/>
      <c r="B18" s="47" t="s">
        <v>622</v>
      </c>
      <c r="C18" s="87">
        <v>1</v>
      </c>
      <c r="D18" s="89" t="s">
        <v>509</v>
      </c>
      <c r="E18" s="87">
        <v>3.14</v>
      </c>
      <c r="F18" s="88">
        <v>6.9</v>
      </c>
      <c r="G18" s="88">
        <v>6.9</v>
      </c>
      <c r="H18" s="101">
        <f t="shared" si="1"/>
        <v>149.5</v>
      </c>
      <c r="I18" s="47"/>
      <c r="J18" s="98"/>
      <c r="K18" s="98"/>
    </row>
    <row r="19" spans="1:11" ht="18.75">
      <c r="A19" s="47"/>
      <c r="B19" s="47" t="s">
        <v>623</v>
      </c>
      <c r="C19" s="87">
        <v>4</v>
      </c>
      <c r="D19" s="89" t="s">
        <v>509</v>
      </c>
      <c r="E19" s="87">
        <v>4</v>
      </c>
      <c r="F19" s="88">
        <v>4</v>
      </c>
      <c r="G19" s="88">
        <v>0.3</v>
      </c>
      <c r="H19" s="101">
        <f t="shared" si="1"/>
        <v>19.2</v>
      </c>
      <c r="I19" s="47"/>
      <c r="J19" s="98"/>
      <c r="K19" s="98"/>
    </row>
    <row r="20" spans="1:11" ht="18.75">
      <c r="A20" s="47"/>
      <c r="B20" s="47" t="s">
        <v>624</v>
      </c>
      <c r="C20" s="87">
        <v>1</v>
      </c>
      <c r="D20" s="89" t="s">
        <v>509</v>
      </c>
      <c r="E20" s="87">
        <v>3.14</v>
      </c>
      <c r="F20" s="88">
        <v>13.8</v>
      </c>
      <c r="G20" s="87">
        <v>0.15</v>
      </c>
      <c r="H20" s="101">
        <f t="shared" si="1"/>
        <v>6.5</v>
      </c>
      <c r="I20" s="47"/>
      <c r="J20" s="98"/>
      <c r="K20" s="98"/>
    </row>
    <row r="21" spans="1:11" ht="21">
      <c r="A21" s="47"/>
      <c r="B21" s="47"/>
      <c r="C21" s="47"/>
      <c r="D21" s="47"/>
      <c r="E21" s="47"/>
      <c r="F21" s="293" t="s">
        <v>616</v>
      </c>
      <c r="G21" s="295"/>
      <c r="H21" s="74">
        <f>SUM(H15:H20)</f>
        <v>499.95</v>
      </c>
      <c r="I21" s="89" t="s">
        <v>56</v>
      </c>
      <c r="J21" s="98"/>
      <c r="K21" s="98"/>
    </row>
    <row r="22" spans="1:11" ht="18.75">
      <c r="A22" s="98"/>
      <c r="B22" s="244" t="s">
        <v>961</v>
      </c>
      <c r="C22" s="98"/>
      <c r="D22" s="98"/>
      <c r="E22" s="98"/>
      <c r="F22" s="98"/>
      <c r="G22" s="98"/>
      <c r="H22" s="98"/>
      <c r="I22" s="98"/>
      <c r="J22" s="98"/>
      <c r="K22" s="98"/>
    </row>
    <row r="23" spans="1:11" ht="36" customHeight="1">
      <c r="A23" s="177">
        <v>10</v>
      </c>
      <c r="B23" s="311" t="s">
        <v>182</v>
      </c>
      <c r="C23" s="312"/>
      <c r="D23" s="312"/>
      <c r="E23" s="312"/>
      <c r="F23" s="312"/>
      <c r="G23" s="312"/>
      <c r="H23" s="312"/>
      <c r="I23" s="313"/>
      <c r="J23" s="98"/>
      <c r="K23" s="98"/>
    </row>
    <row r="24" spans="1:11" ht="16.5">
      <c r="A24" s="182" t="s">
        <v>208</v>
      </c>
      <c r="B24" s="270" t="s">
        <v>822</v>
      </c>
      <c r="C24" s="271"/>
      <c r="D24" s="271"/>
      <c r="E24" s="272"/>
      <c r="F24" s="167" t="s">
        <v>40</v>
      </c>
      <c r="G24" s="163">
        <v>30</v>
      </c>
      <c r="H24" s="44"/>
      <c r="I24" s="204"/>
      <c r="J24" s="98"/>
      <c r="K24" s="98"/>
    </row>
    <row r="25" spans="1:11" ht="16.5">
      <c r="A25" s="182" t="s">
        <v>209</v>
      </c>
      <c r="B25" s="270" t="s">
        <v>823</v>
      </c>
      <c r="C25" s="271"/>
      <c r="D25" s="271"/>
      <c r="E25" s="272"/>
      <c r="F25" s="167" t="s">
        <v>40</v>
      </c>
      <c r="G25" s="163">
        <v>5</v>
      </c>
      <c r="H25" s="44"/>
      <c r="I25" s="44"/>
    </row>
    <row r="26" spans="1:11" ht="33" customHeight="1">
      <c r="A26" s="177">
        <v>11</v>
      </c>
      <c r="B26" s="311" t="s">
        <v>182</v>
      </c>
      <c r="C26" s="312"/>
      <c r="D26" s="312"/>
      <c r="E26" s="312"/>
      <c r="F26" s="312"/>
      <c r="G26" s="312"/>
      <c r="H26" s="312"/>
      <c r="I26" s="313"/>
    </row>
    <row r="27" spans="1:11" ht="16.5">
      <c r="A27" s="182" t="s">
        <v>208</v>
      </c>
      <c r="B27" s="270" t="s">
        <v>821</v>
      </c>
      <c r="C27" s="271"/>
      <c r="D27" s="271"/>
      <c r="E27" s="272"/>
      <c r="F27" s="167" t="s">
        <v>40</v>
      </c>
      <c r="G27" s="163">
        <v>15</v>
      </c>
      <c r="H27" s="44"/>
      <c r="I27" s="44"/>
    </row>
    <row r="28" spans="1:11" ht="16.5" customHeight="1">
      <c r="A28" s="169">
        <v>12</v>
      </c>
      <c r="B28" s="314" t="s">
        <v>626</v>
      </c>
      <c r="C28" s="315"/>
      <c r="D28" s="315"/>
      <c r="E28" s="315"/>
      <c r="F28" s="315"/>
      <c r="G28" s="315"/>
      <c r="H28" s="315"/>
      <c r="I28" s="316"/>
    </row>
    <row r="29" spans="1:11" ht="16.5">
      <c r="A29" s="169"/>
      <c r="B29" s="320" t="s">
        <v>654</v>
      </c>
      <c r="C29" s="321"/>
      <c r="D29" s="321"/>
      <c r="E29" s="322"/>
      <c r="F29" s="151"/>
      <c r="G29" s="152"/>
      <c r="H29" s="44"/>
      <c r="I29" s="44"/>
    </row>
    <row r="30" spans="1:11" ht="16.5">
      <c r="A30" s="169" t="s">
        <v>208</v>
      </c>
      <c r="B30" s="317" t="s">
        <v>959</v>
      </c>
      <c r="C30" s="318"/>
      <c r="D30" s="318"/>
      <c r="E30" s="319"/>
      <c r="F30" s="151" t="s">
        <v>23</v>
      </c>
      <c r="G30" s="152">
        <v>2</v>
      </c>
      <c r="H30" s="44"/>
      <c r="I30" s="44"/>
    </row>
    <row r="31" spans="1:11" ht="16.5">
      <c r="A31" s="169" t="s">
        <v>209</v>
      </c>
      <c r="B31" s="317" t="s">
        <v>960</v>
      </c>
      <c r="C31" s="318"/>
      <c r="D31" s="318"/>
      <c r="E31" s="319"/>
      <c r="F31" s="151" t="s">
        <v>23</v>
      </c>
      <c r="G31" s="152">
        <v>1</v>
      </c>
      <c r="H31" s="44"/>
      <c r="I31" s="44"/>
    </row>
    <row r="32" spans="1:11" ht="16.5">
      <c r="A32" s="169" t="s">
        <v>210</v>
      </c>
      <c r="B32" s="317" t="s">
        <v>655</v>
      </c>
      <c r="C32" s="318"/>
      <c r="D32" s="318"/>
      <c r="E32" s="319"/>
      <c r="F32" s="151" t="s">
        <v>23</v>
      </c>
      <c r="G32" s="152">
        <v>3</v>
      </c>
      <c r="H32" s="44"/>
      <c r="I32" s="44"/>
    </row>
    <row r="33" spans="1:9" ht="48.75" customHeight="1">
      <c r="A33" s="169">
        <v>13</v>
      </c>
      <c r="B33" s="314" t="s">
        <v>368</v>
      </c>
      <c r="C33" s="315"/>
      <c r="D33" s="315"/>
      <c r="E33" s="315"/>
      <c r="F33" s="315"/>
      <c r="G33" s="315"/>
      <c r="H33" s="315"/>
      <c r="I33" s="316"/>
    </row>
    <row r="34" spans="1:9" ht="16.5">
      <c r="A34" s="169"/>
      <c r="B34" s="215"/>
      <c r="C34" s="216"/>
      <c r="D34" s="216"/>
      <c r="E34" s="217"/>
      <c r="F34" s="184" t="s">
        <v>40</v>
      </c>
      <c r="G34" s="185">
        <v>30</v>
      </c>
      <c r="H34" s="44"/>
      <c r="I34" s="44"/>
    </row>
    <row r="58" spans="1:14">
      <c r="A58" s="1"/>
      <c r="B58" s="1"/>
      <c r="C58" s="1"/>
      <c r="D58" s="1"/>
      <c r="E58" s="1"/>
      <c r="F58" s="1"/>
      <c r="G58" s="1"/>
      <c r="H58" s="1"/>
      <c r="I58" s="1"/>
      <c r="J58" s="13"/>
      <c r="K58" s="1"/>
      <c r="L58" s="6"/>
    </row>
    <row r="59" spans="1:14">
      <c r="A59" s="1"/>
      <c r="B59" s="1"/>
      <c r="C59" s="1"/>
      <c r="D59" s="1"/>
      <c r="E59" s="1"/>
      <c r="F59" s="1"/>
      <c r="G59" s="1"/>
      <c r="H59" s="1"/>
      <c r="I59" s="1"/>
      <c r="J59" s="13"/>
      <c r="K59" s="1"/>
      <c r="L59" s="6"/>
    </row>
    <row r="60" spans="1:14">
      <c r="A60" s="1"/>
      <c r="B60" s="1"/>
      <c r="C60" s="1"/>
      <c r="D60" s="1"/>
      <c r="E60" s="1"/>
      <c r="F60" s="1"/>
      <c r="G60" s="1"/>
      <c r="H60" s="1"/>
      <c r="I60" s="1"/>
      <c r="J60" s="13"/>
      <c r="K60" s="1"/>
      <c r="L60" s="6"/>
    </row>
    <row r="61" spans="1:14">
      <c r="A61" s="1"/>
      <c r="B61" s="1"/>
      <c r="C61" s="1"/>
      <c r="D61" s="1"/>
      <c r="E61" s="1"/>
      <c r="F61" s="1"/>
      <c r="G61" s="1"/>
      <c r="H61" s="1"/>
      <c r="I61" s="1"/>
      <c r="J61" s="13"/>
      <c r="K61" s="1">
        <f>SUM(K58:K60)</f>
        <v>0</v>
      </c>
      <c r="L61" s="6">
        <f>SUM(L58:L60)</f>
        <v>0</v>
      </c>
      <c r="M61">
        <f>SUM(M58:M60)</f>
        <v>0</v>
      </c>
      <c r="N61">
        <f>SUM(N58:N60)</f>
        <v>0</v>
      </c>
    </row>
    <row r="62" spans="1:14">
      <c r="L62" s="6"/>
    </row>
    <row r="66" spans="13:13">
      <c r="M66">
        <f>L61+M61-N61</f>
        <v>0</v>
      </c>
    </row>
  </sheetData>
  <mergeCells count="18">
    <mergeCell ref="C13:E13"/>
    <mergeCell ref="F21:G21"/>
    <mergeCell ref="A1:K1"/>
    <mergeCell ref="A2:I2"/>
    <mergeCell ref="C3:E3"/>
    <mergeCell ref="F10:G10"/>
    <mergeCell ref="A12:I12"/>
    <mergeCell ref="B23:I23"/>
    <mergeCell ref="B26:I26"/>
    <mergeCell ref="B28:I28"/>
    <mergeCell ref="B33:I33"/>
    <mergeCell ref="B30:E30"/>
    <mergeCell ref="B29:E29"/>
    <mergeCell ref="B32:E32"/>
    <mergeCell ref="B31:E31"/>
    <mergeCell ref="B24:E24"/>
    <mergeCell ref="B25:E25"/>
    <mergeCell ref="B27:E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23"/>
  <sheetViews>
    <sheetView workbookViewId="0">
      <selection activeCell="B19" sqref="B19:E19"/>
    </sheetView>
  </sheetViews>
  <sheetFormatPr defaultRowHeight="15"/>
  <cols>
    <col min="2" max="2" width="65.140625" customWidth="1"/>
    <col min="3" max="3" width="11.85546875" customWidth="1"/>
    <col min="4" max="4" width="11" customWidth="1"/>
    <col min="5" max="5" width="11.28515625" customWidth="1"/>
    <col min="7" max="7" width="11.7109375" customWidth="1"/>
    <col min="8" max="8" width="14" customWidth="1"/>
    <col min="10" max="10" width="12.7109375" customWidth="1"/>
  </cols>
  <sheetData>
    <row r="1" spans="1:8" ht="21">
      <c r="A1" s="325" t="s">
        <v>42</v>
      </c>
      <c r="B1" s="325"/>
      <c r="C1" s="325"/>
      <c r="D1" s="325"/>
      <c r="E1" s="325"/>
      <c r="F1" s="325"/>
      <c r="G1" s="325"/>
    </row>
    <row r="2" spans="1:8">
      <c r="A2" s="1"/>
      <c r="B2" s="1"/>
      <c r="C2" s="1"/>
      <c r="D2" s="1"/>
      <c r="E2" s="1"/>
      <c r="F2" s="1"/>
      <c r="G2" s="1"/>
    </row>
    <row r="3" spans="1:8" ht="18.75">
      <c r="A3" s="1"/>
      <c r="B3" s="8" t="s">
        <v>26</v>
      </c>
      <c r="C3" s="1"/>
      <c r="D3" s="1"/>
      <c r="E3" s="1"/>
      <c r="F3" s="1"/>
      <c r="G3" s="1"/>
      <c r="H3" s="6"/>
    </row>
    <row r="4" spans="1:8" ht="34.5" customHeight="1">
      <c r="A4" s="45">
        <v>14</v>
      </c>
      <c r="B4" s="311" t="s">
        <v>249</v>
      </c>
      <c r="C4" s="312"/>
      <c r="D4" s="312"/>
      <c r="E4" s="312"/>
      <c r="F4" s="312"/>
      <c r="G4" s="313"/>
      <c r="H4" s="6"/>
    </row>
    <row r="5" spans="1:8" ht="18.75">
      <c r="A5" s="44"/>
      <c r="B5" s="8" t="s">
        <v>963</v>
      </c>
      <c r="C5" s="204" t="s">
        <v>964</v>
      </c>
      <c r="D5" s="38">
        <v>30</v>
      </c>
      <c r="E5" s="38"/>
      <c r="F5" s="38"/>
      <c r="G5" s="38">
        <v>30</v>
      </c>
      <c r="H5" s="6"/>
    </row>
    <row r="6" spans="1:8" ht="66" customHeight="1">
      <c r="A6" s="151">
        <v>15</v>
      </c>
      <c r="B6" s="261" t="s">
        <v>962</v>
      </c>
      <c r="C6" s="262"/>
      <c r="D6" s="262"/>
      <c r="E6" s="262"/>
      <c r="F6" s="262"/>
      <c r="G6" s="263"/>
      <c r="H6" s="6"/>
    </row>
    <row r="7" spans="1:8" ht="18.75" customHeight="1">
      <c r="A7" s="44"/>
      <c r="B7" s="8" t="s">
        <v>963</v>
      </c>
      <c r="C7" s="204" t="s">
        <v>964</v>
      </c>
      <c r="D7" s="55">
        <v>30</v>
      </c>
      <c r="E7" s="44"/>
      <c r="F7" s="44"/>
      <c r="G7" s="57">
        <f>D7</f>
        <v>30</v>
      </c>
      <c r="H7" s="6"/>
    </row>
    <row r="8" spans="1:8" ht="94.5" customHeight="1">
      <c r="A8" s="219">
        <v>16</v>
      </c>
      <c r="B8" s="282" t="s">
        <v>228</v>
      </c>
      <c r="C8" s="283"/>
      <c r="D8" s="283"/>
      <c r="E8" s="283"/>
      <c r="F8" s="283"/>
      <c r="G8" s="284"/>
      <c r="H8" s="6"/>
    </row>
    <row r="9" spans="1:8" ht="18.75" customHeight="1">
      <c r="A9" s="44"/>
      <c r="B9" s="8"/>
      <c r="C9" s="151" t="s">
        <v>49</v>
      </c>
      <c r="D9" s="143">
        <v>8925</v>
      </c>
      <c r="F9" s="44"/>
      <c r="G9" s="57">
        <f>D9</f>
        <v>8925</v>
      </c>
      <c r="H9" s="6"/>
    </row>
    <row r="10" spans="1:8" ht="56.25" customHeight="1">
      <c r="A10" s="219">
        <v>17</v>
      </c>
      <c r="B10" s="314" t="s">
        <v>30</v>
      </c>
      <c r="C10" s="315"/>
      <c r="D10" s="315"/>
      <c r="E10" s="315"/>
      <c r="F10" s="315"/>
      <c r="G10" s="316"/>
      <c r="H10" s="6"/>
    </row>
    <row r="11" spans="1:8" ht="18.75" customHeight="1">
      <c r="A11" s="44"/>
      <c r="B11" s="8"/>
      <c r="C11" s="204" t="s">
        <v>134</v>
      </c>
      <c r="D11" s="55">
        <v>1050</v>
      </c>
      <c r="E11" s="56"/>
      <c r="F11" s="44"/>
      <c r="G11" s="57">
        <f>D11</f>
        <v>1050</v>
      </c>
      <c r="H11" s="6"/>
    </row>
    <row r="12" spans="1:8" ht="51" customHeight="1">
      <c r="A12" s="151">
        <v>18</v>
      </c>
      <c r="B12" s="311" t="s">
        <v>298</v>
      </c>
      <c r="C12" s="312"/>
      <c r="D12" s="312"/>
      <c r="E12" s="312"/>
      <c r="F12" s="312"/>
      <c r="G12" s="313"/>
      <c r="H12" s="6"/>
    </row>
    <row r="13" spans="1:8" ht="18.75" customHeight="1">
      <c r="A13" s="44"/>
      <c r="B13" s="8"/>
      <c r="C13" s="151" t="s">
        <v>279</v>
      </c>
      <c r="D13" s="143">
        <v>17</v>
      </c>
      <c r="F13" s="44"/>
      <c r="G13" s="57">
        <f>D13</f>
        <v>17</v>
      </c>
      <c r="H13" s="6"/>
    </row>
    <row r="14" spans="1:8" ht="85.5" customHeight="1">
      <c r="A14" s="151">
        <v>19</v>
      </c>
      <c r="B14" s="324" t="s">
        <v>813</v>
      </c>
      <c r="C14" s="324"/>
      <c r="D14" s="324"/>
      <c r="E14" s="324"/>
      <c r="F14" s="324"/>
      <c r="G14" s="324"/>
      <c r="H14" s="6"/>
    </row>
    <row r="15" spans="1:8" ht="18.75" customHeight="1">
      <c r="A15" s="151" t="s">
        <v>208</v>
      </c>
      <c r="B15" s="166" t="s">
        <v>830</v>
      </c>
      <c r="C15" s="186" t="s">
        <v>49</v>
      </c>
      <c r="D15" s="187">
        <v>30</v>
      </c>
      <c r="E15" s="44"/>
      <c r="F15" s="44"/>
      <c r="G15" s="57">
        <f>D15</f>
        <v>30</v>
      </c>
      <c r="H15" s="6"/>
    </row>
    <row r="16" spans="1:8" ht="36" customHeight="1">
      <c r="A16" s="151">
        <v>20</v>
      </c>
      <c r="B16" s="314" t="s">
        <v>626</v>
      </c>
      <c r="C16" s="315"/>
      <c r="D16" s="315"/>
      <c r="E16" s="315"/>
      <c r="F16" s="315"/>
      <c r="G16" s="316"/>
      <c r="H16" s="245"/>
    </row>
    <row r="17" spans="1:8" ht="18.75" customHeight="1">
      <c r="A17" s="167" t="s">
        <v>208</v>
      </c>
      <c r="B17" s="323" t="s">
        <v>245</v>
      </c>
      <c r="C17" s="323"/>
      <c r="D17" s="323"/>
      <c r="E17" s="323"/>
      <c r="F17" s="144"/>
      <c r="G17" s="144"/>
      <c r="H17" s="246"/>
    </row>
    <row r="18" spans="1:8" ht="18.75" customHeight="1">
      <c r="A18" s="144"/>
      <c r="B18" s="250" t="s">
        <v>338</v>
      </c>
      <c r="C18" s="143" t="s">
        <v>339</v>
      </c>
      <c r="D18" s="163">
        <f>FIS!H257</f>
        <v>20</v>
      </c>
      <c r="E18" s="250"/>
      <c r="G18" s="163">
        <f>D18</f>
        <v>20</v>
      </c>
      <c r="H18" s="247"/>
    </row>
    <row r="19" spans="1:8" ht="17.25">
      <c r="A19" s="188" t="s">
        <v>209</v>
      </c>
      <c r="B19" s="323" t="s">
        <v>246</v>
      </c>
      <c r="C19" s="323"/>
      <c r="D19" s="323"/>
      <c r="E19" s="323"/>
      <c r="F19" s="143"/>
      <c r="G19" s="144"/>
      <c r="H19" s="247"/>
    </row>
    <row r="20" spans="1:8" ht="17.25">
      <c r="A20" s="188"/>
      <c r="B20" s="248" t="s">
        <v>338</v>
      </c>
      <c r="C20" s="143" t="s">
        <v>339</v>
      </c>
      <c r="D20" s="163">
        <f>FIS!H259</f>
        <v>9</v>
      </c>
      <c r="E20" s="249"/>
      <c r="G20" s="163">
        <f>D20</f>
        <v>9</v>
      </c>
      <c r="H20" s="247"/>
    </row>
    <row r="21" spans="1:8">
      <c r="A21" s="6"/>
      <c r="B21" s="6"/>
      <c r="C21" s="6"/>
      <c r="D21" s="6"/>
      <c r="E21" s="6"/>
      <c r="F21" s="6"/>
      <c r="G21" s="6"/>
    </row>
    <row r="22" spans="1:8">
      <c r="A22" s="6"/>
      <c r="B22" s="6"/>
      <c r="C22" s="6"/>
      <c r="D22" s="6"/>
      <c r="E22" s="6"/>
      <c r="F22" s="6"/>
      <c r="G22" s="6"/>
    </row>
    <row r="23" spans="1:8">
      <c r="A23" s="6"/>
      <c r="B23" s="6"/>
      <c r="C23" s="6"/>
      <c r="D23" s="6"/>
      <c r="E23" s="6"/>
      <c r="F23" s="6"/>
      <c r="G23" s="6"/>
    </row>
  </sheetData>
  <mergeCells count="10">
    <mergeCell ref="A1:G1"/>
    <mergeCell ref="B4:G4"/>
    <mergeCell ref="B6:G6"/>
    <mergeCell ref="B19:E19"/>
    <mergeCell ref="B16:G16"/>
    <mergeCell ref="B14:G14"/>
    <mergeCell ref="B17:E17"/>
    <mergeCell ref="B8:G8"/>
    <mergeCell ref="B10:G10"/>
    <mergeCell ref="B12:G12"/>
  </mergeCells>
  <pageMargins left="0.7" right="0.7" top="0.75" bottom="0.75" header="0.3" footer="0.3"/>
  <pageSetup paperSize="9" scale="95" orientation="landscape" r:id="rId1"/>
</worksheet>
</file>

<file path=xl/worksheets/sheet4.xml><?xml version="1.0" encoding="utf-8"?>
<worksheet xmlns="http://schemas.openxmlformats.org/spreadsheetml/2006/main" xmlns:r="http://schemas.openxmlformats.org/officeDocument/2006/relationships">
  <dimension ref="A1:M173"/>
  <sheetViews>
    <sheetView topLeftCell="A131" workbookViewId="0">
      <selection activeCell="F173" sqref="F173"/>
    </sheetView>
  </sheetViews>
  <sheetFormatPr defaultRowHeight="15"/>
  <cols>
    <col min="2" max="2" width="49.5703125" customWidth="1"/>
    <col min="3" max="3" width="5.28515625" customWidth="1"/>
    <col min="4" max="4" width="4" customWidth="1"/>
    <col min="5" max="5" width="5.5703125" customWidth="1"/>
    <col min="7" max="7" width="9.42578125" customWidth="1"/>
    <col min="9" max="9" width="10.42578125" customWidth="1"/>
    <col min="11" max="11" width="10.85546875" customWidth="1"/>
  </cols>
  <sheetData>
    <row r="1" spans="1:13">
      <c r="A1" s="291" t="s">
        <v>250</v>
      </c>
      <c r="B1" s="291"/>
      <c r="C1" s="291"/>
      <c r="D1" s="291"/>
      <c r="E1" s="291"/>
      <c r="F1" s="291"/>
      <c r="G1" s="291"/>
      <c r="H1" s="291"/>
      <c r="I1" s="291"/>
      <c r="J1" s="291"/>
      <c r="K1" s="291"/>
      <c r="L1" s="291"/>
      <c r="M1" s="291"/>
    </row>
    <row r="2" spans="1:13">
      <c r="A2" s="1" t="s">
        <v>0</v>
      </c>
      <c r="B2" s="44" t="s">
        <v>1</v>
      </c>
      <c r="C2" s="123" t="s">
        <v>2</v>
      </c>
      <c r="D2" s="234"/>
      <c r="E2" s="124"/>
      <c r="F2" s="44" t="s">
        <v>3</v>
      </c>
      <c r="G2" s="44" t="s">
        <v>4</v>
      </c>
      <c r="H2" s="44" t="s">
        <v>5</v>
      </c>
      <c r="I2" s="44" t="s">
        <v>37</v>
      </c>
      <c r="J2" s="44" t="s">
        <v>7</v>
      </c>
      <c r="K2" s="44"/>
      <c r="L2" s="44"/>
      <c r="M2" s="44"/>
    </row>
    <row r="3" spans="1:13" ht="59.25" customHeight="1">
      <c r="A3" s="14">
        <v>21</v>
      </c>
      <c r="B3" s="352" t="s">
        <v>686</v>
      </c>
      <c r="C3" s="353"/>
      <c r="D3" s="353"/>
      <c r="E3" s="353"/>
      <c r="F3" s="353"/>
      <c r="G3" s="353"/>
      <c r="H3" s="353"/>
      <c r="I3" s="353"/>
      <c r="J3" s="353"/>
      <c r="K3" s="353"/>
      <c r="L3" s="353"/>
      <c r="M3" s="354"/>
    </row>
    <row r="4" spans="1:13">
      <c r="A4" s="1"/>
      <c r="B4" s="1" t="s">
        <v>46</v>
      </c>
      <c r="C4" s="103">
        <v>1</v>
      </c>
      <c r="D4" s="103" t="s">
        <v>509</v>
      </c>
      <c r="E4" s="103">
        <v>6</v>
      </c>
      <c r="F4" s="38">
        <v>2</v>
      </c>
      <c r="G4" s="38">
        <v>2</v>
      </c>
      <c r="H4" s="38">
        <v>2</v>
      </c>
      <c r="I4" s="38">
        <f>ROUND((H4*G4*F4*E4*C4),2)</f>
        <v>48</v>
      </c>
      <c r="J4" s="1"/>
      <c r="K4" s="1"/>
      <c r="L4" s="1"/>
      <c r="M4" s="1"/>
    </row>
    <row r="5" spans="1:13">
      <c r="A5" s="1"/>
      <c r="B5" s="1" t="s">
        <v>47</v>
      </c>
      <c r="C5" s="103">
        <v>1</v>
      </c>
      <c r="D5" s="103" t="s">
        <v>509</v>
      </c>
      <c r="E5" s="103">
        <v>6</v>
      </c>
      <c r="F5" s="38">
        <f>8.5+8.5+5+5+5+1.83</f>
        <v>33.83</v>
      </c>
      <c r="G5" s="38">
        <v>0.5</v>
      </c>
      <c r="H5" s="38">
        <v>0.7</v>
      </c>
      <c r="I5" s="38">
        <f t="shared" ref="I5:I6" si="0">ROUND((H5*G5*F5*E5*C5),2)</f>
        <v>71.040000000000006</v>
      </c>
      <c r="J5" s="1"/>
      <c r="K5" s="1"/>
      <c r="L5" s="1"/>
      <c r="M5" s="1"/>
    </row>
    <row r="6" spans="1:13">
      <c r="A6" s="1"/>
      <c r="B6" s="1" t="s">
        <v>48</v>
      </c>
      <c r="C6" s="103">
        <v>1</v>
      </c>
      <c r="D6" s="103" t="s">
        <v>509</v>
      </c>
      <c r="E6" s="103">
        <v>1</v>
      </c>
      <c r="F6" s="38">
        <v>2.5</v>
      </c>
      <c r="G6" s="38">
        <v>1.65</v>
      </c>
      <c r="H6" s="38">
        <v>2</v>
      </c>
      <c r="I6" s="38">
        <f t="shared" si="0"/>
        <v>8.25</v>
      </c>
      <c r="J6" s="1"/>
      <c r="K6" s="1"/>
      <c r="L6" s="1"/>
      <c r="M6" s="1"/>
    </row>
    <row r="7" spans="1:13">
      <c r="A7" s="1"/>
      <c r="B7" s="1"/>
      <c r="C7" s="44"/>
      <c r="D7" s="44"/>
      <c r="E7" s="1"/>
      <c r="F7" s="1"/>
      <c r="G7" s="1"/>
      <c r="H7" s="1"/>
      <c r="I7" s="46">
        <f>SUM(I4:I6)</f>
        <v>127.29</v>
      </c>
      <c r="J7" s="45" t="s">
        <v>16</v>
      </c>
      <c r="K7" s="1"/>
      <c r="L7" s="1"/>
      <c r="M7" s="1"/>
    </row>
    <row r="8" spans="1:13">
      <c r="A8" s="1"/>
      <c r="B8" s="44" t="s">
        <v>689</v>
      </c>
      <c r="C8" s="44"/>
      <c r="D8" s="44"/>
      <c r="E8" s="1"/>
      <c r="F8" s="1"/>
      <c r="G8" s="1"/>
      <c r="H8" s="1"/>
      <c r="I8" s="38">
        <f>I7*0.23</f>
        <v>29.276700000000002</v>
      </c>
      <c r="J8" s="1"/>
      <c r="K8" s="1"/>
      <c r="L8" s="1"/>
      <c r="M8" s="1"/>
    </row>
    <row r="9" spans="1:13">
      <c r="A9" s="1"/>
      <c r="B9" s="1"/>
      <c r="C9" s="44"/>
      <c r="D9" s="44"/>
      <c r="E9" s="1"/>
      <c r="F9" s="1"/>
      <c r="G9" s="1"/>
      <c r="H9" s="1"/>
      <c r="I9" s="38">
        <f>I7-I8</f>
        <v>98.013300000000001</v>
      </c>
      <c r="J9" s="103" t="s">
        <v>16</v>
      </c>
      <c r="K9" s="103"/>
      <c r="L9" s="103"/>
      <c r="M9" s="1"/>
    </row>
    <row r="10" spans="1:13">
      <c r="A10" s="1"/>
      <c r="B10" s="1"/>
      <c r="C10" s="44"/>
      <c r="D10" s="44"/>
      <c r="E10" s="1"/>
      <c r="F10" s="1"/>
      <c r="G10" s="1"/>
      <c r="H10" s="1"/>
      <c r="I10" s="1"/>
      <c r="J10" s="1"/>
      <c r="K10" s="103"/>
      <c r="L10" s="103"/>
      <c r="M10" s="1"/>
    </row>
    <row r="11" spans="1:13">
      <c r="A11" s="204">
        <v>22</v>
      </c>
      <c r="B11" s="1" t="s">
        <v>50</v>
      </c>
      <c r="C11" s="44"/>
      <c r="D11" s="44"/>
      <c r="E11" s="1"/>
      <c r="F11" s="1"/>
      <c r="G11" s="1"/>
      <c r="H11" s="1"/>
      <c r="I11" s="1"/>
      <c r="J11" s="1"/>
      <c r="K11" s="103"/>
      <c r="L11" s="103"/>
      <c r="M11" s="1"/>
    </row>
    <row r="12" spans="1:13">
      <c r="A12" s="1"/>
      <c r="B12" s="1" t="s">
        <v>51</v>
      </c>
      <c r="C12" s="44"/>
      <c r="D12" s="44"/>
      <c r="E12" s="1"/>
      <c r="F12" s="1"/>
      <c r="G12" s="1"/>
      <c r="H12" s="1"/>
      <c r="I12" s="38">
        <f>I8</f>
        <v>29.276700000000002</v>
      </c>
      <c r="J12" s="103" t="s">
        <v>16</v>
      </c>
      <c r="K12" s="38"/>
      <c r="L12" s="103"/>
      <c r="M12" s="1"/>
    </row>
    <row r="13" spans="1:13">
      <c r="A13" s="1"/>
      <c r="B13" s="1"/>
      <c r="C13" s="44"/>
      <c r="D13" s="44"/>
      <c r="E13" s="1"/>
      <c r="F13" s="1"/>
      <c r="G13" s="1"/>
      <c r="H13" s="1"/>
      <c r="I13" s="1"/>
      <c r="J13" s="1"/>
      <c r="K13" s="1"/>
      <c r="L13" s="1"/>
      <c r="M13" s="1"/>
    </row>
    <row r="14" spans="1:13" ht="54" customHeight="1">
      <c r="A14" s="45">
        <v>23</v>
      </c>
      <c r="B14" s="346" t="s">
        <v>187</v>
      </c>
      <c r="C14" s="347"/>
      <c r="D14" s="347"/>
      <c r="E14" s="347"/>
      <c r="F14" s="347"/>
      <c r="G14" s="347"/>
      <c r="H14" s="347"/>
      <c r="I14" s="347"/>
      <c r="J14" s="347"/>
      <c r="K14" s="347"/>
      <c r="L14" s="347"/>
      <c r="M14" s="348"/>
    </row>
    <row r="15" spans="1:13" ht="13.5" customHeight="1">
      <c r="A15" s="86">
        <v>1</v>
      </c>
      <c r="B15" s="61" t="s">
        <v>52</v>
      </c>
      <c r="C15" s="103">
        <v>1</v>
      </c>
      <c r="D15" s="103" t="s">
        <v>509</v>
      </c>
      <c r="E15" s="103">
        <v>6</v>
      </c>
      <c r="F15" s="110">
        <v>1.5</v>
      </c>
      <c r="G15" s="110">
        <v>1.5</v>
      </c>
      <c r="H15" s="110">
        <v>0.15</v>
      </c>
      <c r="I15" s="38">
        <f>ROUND((H15*G15*F15*E15*C15),2)</f>
        <v>2.0299999999999998</v>
      </c>
      <c r="J15" s="44"/>
      <c r="K15" s="104"/>
      <c r="L15" s="43"/>
      <c r="M15" s="1"/>
    </row>
    <row r="16" spans="1:13" ht="18.75" customHeight="1">
      <c r="A16" s="86"/>
      <c r="B16" s="109" t="s">
        <v>636</v>
      </c>
      <c r="C16" s="109"/>
      <c r="D16" s="109"/>
      <c r="E16" s="104"/>
      <c r="F16" s="104"/>
      <c r="G16" s="105"/>
      <c r="H16" s="106"/>
      <c r="I16" s="104"/>
      <c r="J16" s="44"/>
      <c r="K16" s="104"/>
      <c r="L16" s="43"/>
      <c r="M16" s="1"/>
    </row>
    <row r="17" spans="1:13" ht="15" customHeight="1">
      <c r="A17" s="86"/>
      <c r="B17" s="61" t="s">
        <v>52</v>
      </c>
      <c r="C17" s="103">
        <v>1</v>
      </c>
      <c r="D17" s="103" t="s">
        <v>509</v>
      </c>
      <c r="E17" s="103">
        <v>1</v>
      </c>
      <c r="F17" s="110">
        <f>5+5+5+1.83</f>
        <v>16.829999999999998</v>
      </c>
      <c r="G17" s="110">
        <v>0.6</v>
      </c>
      <c r="H17" s="111">
        <v>0.1</v>
      </c>
      <c r="I17" s="38">
        <f>ROUND((H17*G17*F17*E17*C17),2)</f>
        <v>1.01</v>
      </c>
      <c r="J17" s="44"/>
      <c r="K17" s="110"/>
      <c r="L17" s="43"/>
      <c r="M17" s="1"/>
    </row>
    <row r="18" spans="1:13" ht="15.75" customHeight="1">
      <c r="A18" s="86"/>
      <c r="B18" s="61" t="s">
        <v>52</v>
      </c>
      <c r="C18" s="103">
        <v>1</v>
      </c>
      <c r="D18" s="103" t="s">
        <v>509</v>
      </c>
      <c r="E18" s="103">
        <v>1</v>
      </c>
      <c r="F18" s="110">
        <f>8.5+8.5</f>
        <v>17</v>
      </c>
      <c r="G18" s="110">
        <v>0.6</v>
      </c>
      <c r="H18" s="111">
        <v>0.1</v>
      </c>
      <c r="I18" s="38">
        <f t="shared" ref="I18:I22" si="1">ROUND((H18*G18*F18*E18*C18),2)</f>
        <v>1.02</v>
      </c>
      <c r="J18" s="44"/>
      <c r="K18" s="110"/>
      <c r="L18" s="43"/>
      <c r="M18" s="1"/>
    </row>
    <row r="19" spans="1:13" ht="14.25" customHeight="1">
      <c r="A19" s="86"/>
      <c r="B19" s="61" t="s">
        <v>52</v>
      </c>
      <c r="C19" s="103">
        <v>1</v>
      </c>
      <c r="D19" s="103" t="s">
        <v>509</v>
      </c>
      <c r="E19" s="103">
        <v>1</v>
      </c>
      <c r="F19" s="110">
        <f>5+1.83</f>
        <v>6.83</v>
      </c>
      <c r="G19" s="110">
        <v>0.38</v>
      </c>
      <c r="H19" s="111">
        <v>0.1</v>
      </c>
      <c r="I19" s="38">
        <f t="shared" si="1"/>
        <v>0.26</v>
      </c>
      <c r="J19" s="44"/>
      <c r="K19" s="110"/>
      <c r="L19" s="43"/>
      <c r="M19" s="1"/>
    </row>
    <row r="20" spans="1:13" ht="13.5" customHeight="1">
      <c r="A20" s="86"/>
      <c r="B20" s="61" t="s">
        <v>52</v>
      </c>
      <c r="C20" s="103">
        <v>1</v>
      </c>
      <c r="D20" s="103" t="s">
        <v>509</v>
      </c>
      <c r="E20" s="103">
        <v>1</v>
      </c>
      <c r="F20" s="110">
        <f>8.5+8.5+5+5</f>
        <v>27</v>
      </c>
      <c r="G20" s="110">
        <v>0.45</v>
      </c>
      <c r="H20" s="111">
        <v>0.1</v>
      </c>
      <c r="I20" s="38">
        <f t="shared" si="1"/>
        <v>1.22</v>
      </c>
      <c r="J20" s="44"/>
      <c r="K20" s="110"/>
      <c r="L20" s="43"/>
      <c r="M20" s="1"/>
    </row>
    <row r="21" spans="1:13" ht="13.5" customHeight="1">
      <c r="A21" s="86"/>
      <c r="B21" s="61" t="s">
        <v>52</v>
      </c>
      <c r="C21" s="103">
        <v>1</v>
      </c>
      <c r="D21" s="103" t="s">
        <v>509</v>
      </c>
      <c r="E21" s="103">
        <v>1</v>
      </c>
      <c r="F21" s="110">
        <v>8.5</v>
      </c>
      <c r="G21" s="110">
        <v>5</v>
      </c>
      <c r="H21" s="110">
        <v>0.15</v>
      </c>
      <c r="I21" s="38">
        <f t="shared" si="1"/>
        <v>6.38</v>
      </c>
      <c r="J21" s="44"/>
      <c r="K21" s="110"/>
      <c r="L21" s="43"/>
      <c r="M21" s="1"/>
    </row>
    <row r="22" spans="1:13" ht="13.5" customHeight="1">
      <c r="A22" s="86"/>
      <c r="B22" s="61" t="s">
        <v>678</v>
      </c>
      <c r="C22" s="103">
        <v>1</v>
      </c>
      <c r="D22" s="103" t="s">
        <v>509</v>
      </c>
      <c r="E22" s="103">
        <v>1</v>
      </c>
      <c r="F22" s="103">
        <v>2.5</v>
      </c>
      <c r="G22" s="103">
        <v>1.65</v>
      </c>
      <c r="H22" s="103">
        <v>0.15</v>
      </c>
      <c r="I22" s="38">
        <f t="shared" si="1"/>
        <v>0.62</v>
      </c>
      <c r="J22" s="44"/>
      <c r="K22" s="110"/>
      <c r="L22" s="43"/>
      <c r="M22" s="44"/>
    </row>
    <row r="23" spans="1:13" ht="16.5" customHeight="1">
      <c r="A23" s="86"/>
      <c r="B23" s="86"/>
      <c r="C23" s="86"/>
      <c r="D23" s="86"/>
      <c r="E23" s="104"/>
      <c r="F23" s="104"/>
      <c r="G23" s="344" t="s">
        <v>530</v>
      </c>
      <c r="H23" s="345"/>
      <c r="I23" s="38">
        <f>SUM(I15:I22)</f>
        <v>12.54</v>
      </c>
      <c r="J23" s="103" t="s">
        <v>16</v>
      </c>
      <c r="K23" s="107"/>
      <c r="L23" s="43"/>
      <c r="M23" s="1"/>
    </row>
    <row r="24" spans="1:13" ht="78.75" customHeight="1">
      <c r="A24" s="59">
        <v>24</v>
      </c>
      <c r="B24" s="349" t="s">
        <v>637</v>
      </c>
      <c r="C24" s="350"/>
      <c r="D24" s="350"/>
      <c r="E24" s="350"/>
      <c r="F24" s="350"/>
      <c r="G24" s="350"/>
      <c r="H24" s="350"/>
      <c r="I24" s="350"/>
      <c r="J24" s="350"/>
      <c r="K24" s="350"/>
      <c r="L24" s="350"/>
      <c r="M24" s="351"/>
    </row>
    <row r="25" spans="1:13" ht="14.1" customHeight="1">
      <c r="A25" s="59" t="s">
        <v>208</v>
      </c>
      <c r="B25" s="114" t="s">
        <v>640</v>
      </c>
      <c r="C25" s="103">
        <v>1</v>
      </c>
      <c r="D25" s="103" t="s">
        <v>509</v>
      </c>
      <c r="E25" s="103">
        <v>6</v>
      </c>
      <c r="F25" s="57">
        <v>1.2</v>
      </c>
      <c r="G25" s="57">
        <v>1.2</v>
      </c>
      <c r="H25" s="57">
        <v>0.3</v>
      </c>
      <c r="I25" s="38">
        <f>ROUND((H25*G25*F25*E25*C25),2)</f>
        <v>2.59</v>
      </c>
      <c r="J25" s="113"/>
      <c r="K25" s="113"/>
      <c r="L25" s="113"/>
      <c r="M25" s="112"/>
    </row>
    <row r="26" spans="1:13" ht="14.1" customHeight="1">
      <c r="A26" s="108" t="s">
        <v>209</v>
      </c>
      <c r="B26" s="117" t="s">
        <v>641</v>
      </c>
      <c r="C26" s="118">
        <v>1</v>
      </c>
      <c r="D26" s="118" t="s">
        <v>509</v>
      </c>
      <c r="E26" s="118">
        <v>6</v>
      </c>
      <c r="F26" s="115">
        <v>0.3</v>
      </c>
      <c r="G26" s="115">
        <v>0.3</v>
      </c>
      <c r="H26" s="115">
        <v>4.5</v>
      </c>
      <c r="I26" s="115">
        <f>ROUND((H26*G26*F26*E26*C26),2)</f>
        <v>2.4300000000000002</v>
      </c>
      <c r="J26" s="113"/>
      <c r="K26" s="113"/>
      <c r="L26" s="113"/>
      <c r="M26" s="112"/>
    </row>
    <row r="27" spans="1:13" ht="14.1" customHeight="1">
      <c r="A27" s="59" t="s">
        <v>210</v>
      </c>
      <c r="B27" s="116" t="s">
        <v>642</v>
      </c>
      <c r="C27" s="57"/>
      <c r="D27" s="57"/>
      <c r="E27" s="57"/>
      <c r="F27" s="57"/>
      <c r="G27" s="57"/>
      <c r="H27" s="57"/>
      <c r="I27" s="59"/>
      <c r="J27" s="113"/>
      <c r="K27" s="113"/>
      <c r="L27" s="113"/>
      <c r="M27" s="112"/>
    </row>
    <row r="28" spans="1:13" ht="14.1" customHeight="1">
      <c r="A28" s="59"/>
      <c r="B28" s="58" t="s">
        <v>643</v>
      </c>
      <c r="C28" s="57">
        <v>1</v>
      </c>
      <c r="D28" s="57" t="s">
        <v>509</v>
      </c>
      <c r="E28" s="57">
        <v>2</v>
      </c>
      <c r="F28" s="57">
        <v>0.23</v>
      </c>
      <c r="G28" s="57">
        <v>0.3</v>
      </c>
      <c r="H28" s="57">
        <v>8.5</v>
      </c>
      <c r="I28" s="59">
        <f>ROUND((H28*G28*F28*E28*C28),2)</f>
        <v>1.17</v>
      </c>
      <c r="J28" s="113"/>
      <c r="K28" s="113"/>
      <c r="L28" s="113"/>
      <c r="M28" s="112"/>
    </row>
    <row r="29" spans="1:13" ht="14.1" customHeight="1">
      <c r="A29" s="59"/>
      <c r="B29" s="58" t="s">
        <v>644</v>
      </c>
      <c r="C29" s="57">
        <v>1</v>
      </c>
      <c r="D29" s="57" t="s">
        <v>509</v>
      </c>
      <c r="E29" s="57">
        <v>2</v>
      </c>
      <c r="F29" s="57">
        <v>0.23</v>
      </c>
      <c r="G29" s="57">
        <v>0.3</v>
      </c>
      <c r="H29" s="57">
        <v>5</v>
      </c>
      <c r="I29" s="59">
        <f>ROUND((H29*G29*F29*E29*C29),2)</f>
        <v>0.69</v>
      </c>
      <c r="J29" s="113"/>
      <c r="K29" s="113"/>
      <c r="L29" s="113"/>
      <c r="M29" s="112"/>
    </row>
    <row r="30" spans="1:13" ht="14.1" customHeight="1">
      <c r="A30" s="59"/>
      <c r="B30" s="58" t="s">
        <v>645</v>
      </c>
      <c r="C30" s="57">
        <v>1</v>
      </c>
      <c r="D30" s="57" t="s">
        <v>509</v>
      </c>
      <c r="E30" s="57">
        <v>1</v>
      </c>
      <c r="F30" s="57">
        <v>0.23</v>
      </c>
      <c r="G30" s="57">
        <v>0.3</v>
      </c>
      <c r="H30" s="57">
        <v>5</v>
      </c>
      <c r="I30" s="59">
        <f>ROUND((H30*G30*F30*E30*C30),2)</f>
        <v>0.35</v>
      </c>
      <c r="J30" s="113"/>
      <c r="K30" s="113"/>
      <c r="L30" s="113"/>
      <c r="M30" s="112"/>
    </row>
    <row r="31" spans="1:13" ht="14.1" customHeight="1">
      <c r="A31" s="59"/>
      <c r="B31" s="58" t="s">
        <v>645</v>
      </c>
      <c r="C31" s="57">
        <v>1</v>
      </c>
      <c r="D31" s="57" t="s">
        <v>509</v>
      </c>
      <c r="E31" s="57">
        <v>1</v>
      </c>
      <c r="F31" s="57">
        <v>0.23</v>
      </c>
      <c r="G31" s="57">
        <v>0.3</v>
      </c>
      <c r="H31" s="58">
        <v>1.83</v>
      </c>
      <c r="I31" s="59">
        <f>ROUND((H31*G31*F31*E31*C31),2)</f>
        <v>0.13</v>
      </c>
      <c r="J31" s="113"/>
      <c r="K31" s="113"/>
      <c r="L31" s="113"/>
      <c r="M31" s="112"/>
    </row>
    <row r="32" spans="1:13" ht="14.1" customHeight="1">
      <c r="A32" s="59" t="s">
        <v>211</v>
      </c>
      <c r="B32" s="116" t="s">
        <v>646</v>
      </c>
      <c r="C32" s="58"/>
      <c r="D32" s="58"/>
      <c r="E32" s="58"/>
      <c r="F32" s="58"/>
      <c r="G32" s="58"/>
      <c r="H32" s="58"/>
      <c r="I32" s="59"/>
      <c r="J32" s="113"/>
      <c r="K32" s="113"/>
      <c r="L32" s="113"/>
      <c r="M32" s="112"/>
    </row>
    <row r="33" spans="1:13" ht="14.1" customHeight="1">
      <c r="A33" s="59"/>
      <c r="B33" s="58" t="s">
        <v>647</v>
      </c>
      <c r="C33" s="57">
        <v>1</v>
      </c>
      <c r="D33" s="57" t="s">
        <v>509</v>
      </c>
      <c r="E33" s="57">
        <v>2</v>
      </c>
      <c r="F33" s="57">
        <v>0.23</v>
      </c>
      <c r="G33" s="57">
        <v>0.3</v>
      </c>
      <c r="H33" s="57">
        <v>8.5</v>
      </c>
      <c r="I33" s="59">
        <f>ROUND((H33*G33*F33*E33*C33),2)</f>
        <v>1.17</v>
      </c>
      <c r="J33" s="113"/>
      <c r="K33" s="113"/>
      <c r="L33" s="113"/>
      <c r="M33" s="112"/>
    </row>
    <row r="34" spans="1:13" ht="14.1" customHeight="1">
      <c r="A34" s="59"/>
      <c r="B34" s="58" t="s">
        <v>648</v>
      </c>
      <c r="C34" s="57">
        <v>1</v>
      </c>
      <c r="D34" s="57" t="s">
        <v>509</v>
      </c>
      <c r="E34" s="57">
        <v>3</v>
      </c>
      <c r="F34" s="57">
        <v>0.23</v>
      </c>
      <c r="G34" s="57">
        <v>0.3</v>
      </c>
      <c r="H34" s="57">
        <v>5</v>
      </c>
      <c r="I34" s="59">
        <f>ROUND((H34*G34*F34*E34*C34),2)</f>
        <v>1.04</v>
      </c>
      <c r="J34" s="113"/>
      <c r="K34" s="113"/>
      <c r="L34" s="113"/>
      <c r="M34" s="112"/>
    </row>
    <row r="35" spans="1:13" ht="14.1" customHeight="1">
      <c r="A35" s="59"/>
      <c r="B35" s="58" t="s">
        <v>649</v>
      </c>
      <c r="C35" s="57">
        <v>1</v>
      </c>
      <c r="D35" s="57" t="s">
        <v>509</v>
      </c>
      <c r="E35" s="57">
        <v>1</v>
      </c>
      <c r="F35" s="57">
        <v>8.5</v>
      </c>
      <c r="G35" s="57">
        <v>5</v>
      </c>
      <c r="H35" s="58">
        <v>0.125</v>
      </c>
      <c r="I35" s="59">
        <f>ROUND((H35*G35*F35*E35*C35),2)</f>
        <v>5.31</v>
      </c>
      <c r="J35" s="113"/>
      <c r="K35" s="113"/>
      <c r="L35" s="113"/>
      <c r="M35" s="112"/>
    </row>
    <row r="36" spans="1:13" ht="15.75">
      <c r="A36" s="1"/>
      <c r="B36" s="103" t="s">
        <v>677</v>
      </c>
      <c r="C36" s="57">
        <v>1</v>
      </c>
      <c r="D36" s="57" t="s">
        <v>509</v>
      </c>
      <c r="E36" s="57">
        <v>1</v>
      </c>
      <c r="F36" s="46">
        <v>2.5</v>
      </c>
      <c r="G36" s="46">
        <v>1.65</v>
      </c>
      <c r="H36" s="46">
        <v>0.1</v>
      </c>
      <c r="I36" s="46">
        <f>H36*G36*F36*1</f>
        <v>0.41250000000000003</v>
      </c>
      <c r="J36" s="1"/>
      <c r="K36" s="1"/>
      <c r="L36" s="1"/>
      <c r="M36" s="1"/>
    </row>
    <row r="37" spans="1:13">
      <c r="A37" s="1"/>
      <c r="B37" s="1"/>
      <c r="C37" s="44"/>
      <c r="D37" s="44"/>
      <c r="E37" s="1"/>
      <c r="F37" s="1"/>
      <c r="G37" s="1"/>
      <c r="H37" s="1"/>
      <c r="I37" s="67">
        <f>SUM(I25:I36)</f>
        <v>15.292499999999995</v>
      </c>
      <c r="J37" s="1" t="s">
        <v>16</v>
      </c>
      <c r="K37" s="1"/>
      <c r="L37" s="1"/>
      <c r="M37" s="1"/>
    </row>
    <row r="38" spans="1:13" ht="33.75" customHeight="1">
      <c r="A38" s="45">
        <v>25</v>
      </c>
      <c r="B38" s="326" t="s">
        <v>55</v>
      </c>
      <c r="C38" s="327"/>
      <c r="D38" s="327"/>
      <c r="E38" s="327"/>
      <c r="F38" s="327"/>
      <c r="G38" s="327"/>
      <c r="H38" s="327"/>
      <c r="I38" s="327"/>
      <c r="J38" s="327"/>
      <c r="K38" s="327"/>
      <c r="L38" s="327"/>
      <c r="M38" s="342"/>
    </row>
    <row r="39" spans="1:13">
      <c r="A39" s="1"/>
      <c r="B39" s="44" t="s">
        <v>672</v>
      </c>
      <c r="C39" s="103">
        <v>6</v>
      </c>
      <c r="D39" s="103" t="s">
        <v>425</v>
      </c>
      <c r="E39" s="103">
        <v>4</v>
      </c>
      <c r="F39" s="38">
        <v>0.3</v>
      </c>
      <c r="G39" s="38">
        <v>3.7</v>
      </c>
      <c r="H39" s="38">
        <f>ROUND((G39*F39*E39*C39),2)</f>
        <v>26.64</v>
      </c>
      <c r="I39" s="2"/>
      <c r="J39" s="1"/>
      <c r="K39" s="1"/>
      <c r="L39" s="1"/>
      <c r="M39" s="1"/>
    </row>
    <row r="40" spans="1:13">
      <c r="A40" s="1"/>
      <c r="B40" s="44" t="s">
        <v>673</v>
      </c>
      <c r="C40" s="103">
        <v>1</v>
      </c>
      <c r="D40" s="103" t="s">
        <v>425</v>
      </c>
      <c r="E40" s="103">
        <v>1</v>
      </c>
      <c r="F40" s="38">
        <f>8.5+8.5+5+5+5+1.83</f>
        <v>33.83</v>
      </c>
      <c r="G40" s="103">
        <f>0.3+0.23+0.3</f>
        <v>0.83000000000000007</v>
      </c>
      <c r="H40" s="38">
        <f>ROUND((G40*F40*E40*C40),2)</f>
        <v>28.08</v>
      </c>
      <c r="I40" s="2"/>
      <c r="J40" s="1"/>
      <c r="K40" s="1"/>
      <c r="L40" s="1"/>
      <c r="M40" s="1"/>
    </row>
    <row r="41" spans="1:13">
      <c r="A41" s="1"/>
      <c r="B41" s="44" t="s">
        <v>674</v>
      </c>
      <c r="C41" s="103">
        <v>1</v>
      </c>
      <c r="D41" s="103" t="s">
        <v>425</v>
      </c>
      <c r="E41" s="103">
        <v>1</v>
      </c>
      <c r="F41" s="38">
        <f>8.5+8.5+5+5+5</f>
        <v>32</v>
      </c>
      <c r="G41" s="103">
        <f>0.3+0.3</f>
        <v>0.6</v>
      </c>
      <c r="H41" s="38">
        <f>ROUND((G41*F41*E41*C41),2)</f>
        <v>19.2</v>
      </c>
      <c r="I41" s="2"/>
      <c r="J41" s="1"/>
      <c r="K41" s="1"/>
      <c r="L41" s="1"/>
      <c r="M41" s="1"/>
    </row>
    <row r="42" spans="1:13">
      <c r="A42" s="1"/>
      <c r="B42" s="44" t="s">
        <v>675</v>
      </c>
      <c r="C42" s="103">
        <v>1</v>
      </c>
      <c r="D42" s="103" t="s">
        <v>425</v>
      </c>
      <c r="E42" s="103">
        <v>1</v>
      </c>
      <c r="F42" s="103">
        <v>8.5</v>
      </c>
      <c r="G42" s="103">
        <v>5</v>
      </c>
      <c r="H42" s="38">
        <f>ROUND((G42*F42*E42*C42),2)</f>
        <v>42.5</v>
      </c>
      <c r="I42" s="2"/>
      <c r="J42" s="1"/>
      <c r="K42" s="1"/>
      <c r="L42" s="1"/>
      <c r="M42" s="1"/>
    </row>
    <row r="43" spans="1:13">
      <c r="A43" s="44"/>
      <c r="B43" s="44"/>
      <c r="C43" s="103"/>
      <c r="D43" s="103"/>
      <c r="E43" s="103"/>
      <c r="F43" s="103"/>
      <c r="G43" s="103"/>
      <c r="H43" s="38">
        <f>SUM(H39:H42)</f>
        <v>116.42</v>
      </c>
      <c r="I43" s="103" t="s">
        <v>56</v>
      </c>
      <c r="J43" s="44"/>
      <c r="K43" s="44"/>
      <c r="L43" s="44"/>
      <c r="M43" s="44"/>
    </row>
    <row r="44" spans="1:13" ht="88.5" customHeight="1">
      <c r="A44" s="45">
        <v>26</v>
      </c>
      <c r="B44" s="338" t="s">
        <v>202</v>
      </c>
      <c r="C44" s="339"/>
      <c r="D44" s="339"/>
      <c r="E44" s="339"/>
      <c r="F44" s="339"/>
      <c r="G44" s="339"/>
      <c r="H44" s="339"/>
      <c r="I44" s="339"/>
      <c r="J44" s="339"/>
      <c r="K44" s="339"/>
      <c r="L44" s="339"/>
      <c r="M44" s="340"/>
    </row>
    <row r="45" spans="1:13">
      <c r="A45" s="1"/>
      <c r="B45" s="44" t="s">
        <v>676</v>
      </c>
      <c r="C45" s="44"/>
      <c r="D45" s="44"/>
      <c r="E45" s="1"/>
      <c r="F45" s="1"/>
      <c r="G45" s="1"/>
      <c r="H45" s="1"/>
      <c r="I45" s="67">
        <v>3</v>
      </c>
      <c r="J45" s="1" t="s">
        <v>21</v>
      </c>
      <c r="K45" s="1"/>
      <c r="L45" s="1"/>
      <c r="M45" s="1"/>
    </row>
    <row r="46" spans="1:13" ht="60.75" customHeight="1">
      <c r="A46" s="45">
        <v>27</v>
      </c>
      <c r="B46" s="338" t="s">
        <v>681</v>
      </c>
      <c r="C46" s="339"/>
      <c r="D46" s="339"/>
      <c r="E46" s="339"/>
      <c r="F46" s="339"/>
      <c r="G46" s="339"/>
      <c r="H46" s="339"/>
      <c r="I46" s="339"/>
      <c r="J46" s="339"/>
      <c r="K46" s="339"/>
      <c r="L46" s="339"/>
      <c r="M46" s="340"/>
    </row>
    <row r="47" spans="1:13">
      <c r="A47" s="44"/>
      <c r="B47" s="11" t="s">
        <v>682</v>
      </c>
      <c r="C47" s="11"/>
      <c r="D47" s="11"/>
      <c r="E47" s="11"/>
      <c r="F47" s="11"/>
      <c r="G47" s="11"/>
      <c r="H47" s="11"/>
      <c r="I47" s="46">
        <v>128</v>
      </c>
      <c r="J47" s="11"/>
      <c r="K47" s="11"/>
      <c r="L47" s="11"/>
      <c r="M47" s="11"/>
    </row>
    <row r="48" spans="1:13" ht="15.75">
      <c r="A48" s="44"/>
      <c r="B48" s="11" t="s">
        <v>683</v>
      </c>
      <c r="C48" s="103">
        <v>1</v>
      </c>
      <c r="D48" s="103" t="s">
        <v>425</v>
      </c>
      <c r="E48" s="103">
        <v>1</v>
      </c>
      <c r="F48" s="120">
        <v>8.5</v>
      </c>
      <c r="G48" s="120">
        <v>5</v>
      </c>
      <c r="H48" s="120">
        <v>0.6</v>
      </c>
      <c r="I48" s="62">
        <f>ROUND((H48*G48*F48*E48*C48),2)</f>
        <v>25.5</v>
      </c>
      <c r="J48" s="11"/>
      <c r="K48" s="11"/>
      <c r="L48" s="11"/>
      <c r="M48" s="11"/>
    </row>
    <row r="49" spans="1:13">
      <c r="A49" s="44"/>
      <c r="B49" s="11"/>
      <c r="C49" s="11"/>
      <c r="D49" s="11"/>
      <c r="E49" s="11"/>
      <c r="F49" s="11"/>
      <c r="G49" s="11"/>
      <c r="H49" s="11"/>
      <c r="I49" s="38">
        <f>SUM(I47:I48)</f>
        <v>153.5</v>
      </c>
      <c r="J49" s="11"/>
      <c r="K49" s="11"/>
      <c r="L49" s="11"/>
      <c r="M49" s="11"/>
    </row>
    <row r="50" spans="1:13">
      <c r="A50" s="44"/>
      <c r="B50" s="11" t="s">
        <v>62</v>
      </c>
      <c r="C50" s="11"/>
      <c r="D50" s="11"/>
      <c r="E50" s="11"/>
      <c r="F50" s="11"/>
      <c r="G50" s="11"/>
      <c r="H50" s="11"/>
      <c r="I50" s="11"/>
      <c r="J50" s="11"/>
      <c r="K50" s="11"/>
      <c r="L50" s="11"/>
      <c r="M50" s="11"/>
    </row>
    <row r="51" spans="1:13">
      <c r="A51" s="44"/>
      <c r="B51" s="11" t="s">
        <v>52</v>
      </c>
      <c r="C51" s="11"/>
      <c r="D51" s="11"/>
      <c r="E51" s="11"/>
      <c r="F51" s="11"/>
      <c r="G51" s="11"/>
      <c r="H51" s="11"/>
      <c r="I51" s="103">
        <v>15.54</v>
      </c>
      <c r="J51" s="11"/>
      <c r="K51" s="11"/>
      <c r="L51" s="11"/>
      <c r="M51" s="11"/>
    </row>
    <row r="52" spans="1:13">
      <c r="A52" s="44"/>
      <c r="B52" s="11" t="s">
        <v>684</v>
      </c>
      <c r="C52" s="11"/>
      <c r="D52" s="11"/>
      <c r="E52" s="11"/>
      <c r="F52" s="11"/>
      <c r="G52" s="11"/>
      <c r="H52" s="11"/>
      <c r="I52" s="38">
        <f>I58</f>
        <v>13.7</v>
      </c>
      <c r="J52" s="11"/>
      <c r="K52" s="11"/>
      <c r="L52" s="11"/>
      <c r="M52" s="11"/>
    </row>
    <row r="53" spans="1:13">
      <c r="A53" s="44"/>
      <c r="B53" s="11" t="s">
        <v>685</v>
      </c>
      <c r="C53" s="11"/>
      <c r="D53" s="11"/>
      <c r="E53" s="11"/>
      <c r="F53" s="11"/>
      <c r="G53" s="11"/>
      <c r="H53" s="11"/>
      <c r="I53" s="38">
        <f>I25</f>
        <v>2.59</v>
      </c>
      <c r="J53" s="11"/>
      <c r="K53" s="11"/>
      <c r="L53" s="11"/>
      <c r="M53" s="11"/>
    </row>
    <row r="54" spans="1:13">
      <c r="A54" s="44"/>
      <c r="B54" s="11"/>
      <c r="C54" s="11"/>
      <c r="D54" s="11"/>
      <c r="E54" s="11"/>
      <c r="F54" s="11"/>
      <c r="G54" s="123"/>
      <c r="H54" s="124"/>
      <c r="I54" s="38">
        <f>SUM(I51:I53)</f>
        <v>31.83</v>
      </c>
      <c r="J54" s="11"/>
      <c r="K54" s="11"/>
      <c r="L54" s="11"/>
      <c r="M54" s="11"/>
    </row>
    <row r="55" spans="1:13">
      <c r="A55" s="44"/>
      <c r="B55" s="11"/>
      <c r="C55" s="11"/>
      <c r="D55" s="11"/>
      <c r="E55" s="11"/>
      <c r="F55" s="11"/>
      <c r="G55" s="307" t="s">
        <v>72</v>
      </c>
      <c r="H55" s="309"/>
      <c r="I55" s="38">
        <f>I49-I54</f>
        <v>121.67</v>
      </c>
      <c r="J55" s="11" t="s">
        <v>16</v>
      </c>
      <c r="K55" s="11"/>
      <c r="L55" s="11"/>
      <c r="M55" s="11"/>
    </row>
    <row r="56" spans="1:13">
      <c r="A56" s="44"/>
      <c r="B56" s="13"/>
      <c r="C56" s="125"/>
      <c r="D56" s="125"/>
      <c r="E56" s="125"/>
      <c r="F56" s="125"/>
      <c r="G56" s="125"/>
      <c r="H56" s="125"/>
      <c r="I56" s="218"/>
      <c r="J56" s="125"/>
      <c r="K56" s="125"/>
      <c r="L56" s="125"/>
      <c r="M56" s="16"/>
    </row>
    <row r="57" spans="1:13" ht="45.75" customHeight="1">
      <c r="A57" s="45">
        <v>28</v>
      </c>
      <c r="B57" s="326" t="s">
        <v>943</v>
      </c>
      <c r="C57" s="327"/>
      <c r="D57" s="327"/>
      <c r="E57" s="327"/>
      <c r="F57" s="327"/>
      <c r="G57" s="327"/>
      <c r="H57" s="327"/>
      <c r="I57" s="327"/>
      <c r="J57" s="327"/>
      <c r="K57" s="327"/>
      <c r="L57" s="327"/>
      <c r="M57" s="342"/>
    </row>
    <row r="58" spans="1:13" ht="15.75">
      <c r="A58" s="44"/>
      <c r="B58" s="13" t="s">
        <v>684</v>
      </c>
      <c r="C58" s="103">
        <v>1</v>
      </c>
      <c r="D58" s="103" t="s">
        <v>425</v>
      </c>
      <c r="E58" s="103">
        <v>1</v>
      </c>
      <c r="F58" s="103">
        <f>8.5+8.5+5+5+5+1.83</f>
        <v>33.83</v>
      </c>
      <c r="G58" s="103">
        <v>0.45</v>
      </c>
      <c r="H58" s="38">
        <v>0.9</v>
      </c>
      <c r="I58" s="62">
        <f>ROUND((H58*G58*F58*E58*C58),2)</f>
        <v>13.7</v>
      </c>
      <c r="J58" s="44"/>
      <c r="K58" s="44"/>
      <c r="L58" s="44"/>
      <c r="M58" s="44"/>
    </row>
    <row r="59" spans="1:13">
      <c r="A59" s="44"/>
      <c r="B59" s="44"/>
      <c r="C59" s="44"/>
      <c r="D59" s="44"/>
      <c r="E59" s="44"/>
      <c r="F59" s="44"/>
      <c r="G59" s="44"/>
      <c r="H59" s="44"/>
      <c r="I59" s="67"/>
      <c r="J59" s="44"/>
      <c r="K59" s="44"/>
      <c r="L59" s="44"/>
      <c r="M59" s="44"/>
    </row>
    <row r="60" spans="1:13" ht="33.75" customHeight="1">
      <c r="A60" s="45">
        <v>29</v>
      </c>
      <c r="B60" s="326" t="s">
        <v>57</v>
      </c>
      <c r="C60" s="327"/>
      <c r="D60" s="327"/>
      <c r="E60" s="327"/>
      <c r="F60" s="327"/>
      <c r="G60" s="327"/>
      <c r="H60" s="327"/>
      <c r="I60" s="327"/>
      <c r="J60" s="327"/>
      <c r="K60" s="327"/>
      <c r="L60" s="327"/>
      <c r="M60" s="342"/>
    </row>
    <row r="61" spans="1:13" ht="15.75">
      <c r="A61" s="1"/>
      <c r="B61" s="1" t="s">
        <v>58</v>
      </c>
      <c r="C61" s="57">
        <v>1</v>
      </c>
      <c r="D61" s="57" t="s">
        <v>509</v>
      </c>
      <c r="E61" s="57">
        <v>2</v>
      </c>
      <c r="F61" s="38">
        <v>8.5</v>
      </c>
      <c r="G61" s="38">
        <v>0.22500000000000001</v>
      </c>
      <c r="H61" s="38">
        <v>3.1</v>
      </c>
      <c r="I61" s="59">
        <f>ROUND((H61*G61*F61*E61*C61),2)</f>
        <v>11.86</v>
      </c>
      <c r="J61" s="1"/>
      <c r="K61" s="1"/>
      <c r="L61" s="1"/>
      <c r="M61" s="1"/>
    </row>
    <row r="62" spans="1:13" ht="15.75">
      <c r="A62" s="1"/>
      <c r="B62" s="343" t="s">
        <v>59</v>
      </c>
      <c r="C62" s="57">
        <v>1</v>
      </c>
      <c r="D62" s="57" t="s">
        <v>509</v>
      </c>
      <c r="E62" s="57">
        <v>3</v>
      </c>
      <c r="F62" s="38">
        <v>5</v>
      </c>
      <c r="G62" s="38">
        <v>0.23</v>
      </c>
      <c r="H62" s="38">
        <v>3.1</v>
      </c>
      <c r="I62" s="59">
        <f t="shared" ref="I62:I65" si="2">ROUND((H62*G62*F62*E62*C62),2)</f>
        <v>10.7</v>
      </c>
      <c r="J62" s="1"/>
      <c r="K62" s="1"/>
      <c r="L62" s="1"/>
      <c r="M62" s="1"/>
    </row>
    <row r="63" spans="1:13" ht="15.75">
      <c r="A63" s="1"/>
      <c r="B63" s="343"/>
      <c r="C63" s="57">
        <v>1</v>
      </c>
      <c r="D63" s="57" t="s">
        <v>509</v>
      </c>
      <c r="E63" s="57">
        <v>1</v>
      </c>
      <c r="F63" s="38">
        <v>1.83</v>
      </c>
      <c r="G63" s="76">
        <v>0.23</v>
      </c>
      <c r="H63" s="38">
        <v>3.1</v>
      </c>
      <c r="I63" s="59">
        <f t="shared" si="2"/>
        <v>1.3</v>
      </c>
      <c r="J63" s="1"/>
      <c r="K63" s="1"/>
      <c r="L63" s="1"/>
      <c r="M63" s="1"/>
    </row>
    <row r="64" spans="1:13" ht="15.75">
      <c r="A64" s="1"/>
      <c r="B64" s="1" t="s">
        <v>60</v>
      </c>
      <c r="C64" s="57">
        <v>1</v>
      </c>
      <c r="D64" s="57" t="s">
        <v>509</v>
      </c>
      <c r="E64" s="57">
        <v>1</v>
      </c>
      <c r="F64" s="38">
        <f>8.5+8.5+5+5</f>
        <v>27</v>
      </c>
      <c r="G64" s="38">
        <v>0.23</v>
      </c>
      <c r="H64" s="38">
        <v>1</v>
      </c>
      <c r="I64" s="59">
        <f t="shared" si="2"/>
        <v>6.21</v>
      </c>
      <c r="J64" s="1"/>
      <c r="K64" s="1"/>
      <c r="L64" s="1"/>
      <c r="M64" s="1"/>
    </row>
    <row r="65" spans="1:13" ht="15.75">
      <c r="A65" s="1"/>
      <c r="B65" s="5" t="s">
        <v>61</v>
      </c>
      <c r="C65" s="57">
        <v>1</v>
      </c>
      <c r="D65" s="57" t="s">
        <v>509</v>
      </c>
      <c r="E65" s="57">
        <v>1</v>
      </c>
      <c r="F65" s="38">
        <v>7.32</v>
      </c>
      <c r="G65" s="76">
        <v>0.23</v>
      </c>
      <c r="H65" s="38">
        <v>2</v>
      </c>
      <c r="I65" s="59">
        <f t="shared" si="2"/>
        <v>3.37</v>
      </c>
      <c r="J65" s="1"/>
      <c r="K65" s="1"/>
      <c r="L65" s="1"/>
      <c r="M65" s="1"/>
    </row>
    <row r="66" spans="1:13">
      <c r="A66" s="1"/>
      <c r="B66" s="1"/>
      <c r="C66" s="44"/>
      <c r="D66" s="44"/>
      <c r="E66" s="1"/>
      <c r="F66" s="1"/>
      <c r="G66" s="1"/>
      <c r="H66" s="1"/>
      <c r="I66" s="115">
        <f>SUM(I61:I65)</f>
        <v>33.44</v>
      </c>
      <c r="J66" s="1" t="s">
        <v>16</v>
      </c>
      <c r="K66" s="1"/>
      <c r="L66" s="1"/>
      <c r="M66" s="1"/>
    </row>
    <row r="67" spans="1:13">
      <c r="A67" s="1"/>
      <c r="B67" s="4" t="s">
        <v>62</v>
      </c>
      <c r="C67" s="4"/>
      <c r="D67" s="4"/>
      <c r="E67" s="1"/>
      <c r="F67" s="1"/>
      <c r="G67" s="1"/>
      <c r="H67" s="1"/>
      <c r="I67" s="1"/>
      <c r="J67" s="1"/>
      <c r="K67" s="1"/>
      <c r="L67" s="1"/>
      <c r="M67" s="1"/>
    </row>
    <row r="68" spans="1:13" ht="15.75">
      <c r="A68" s="1"/>
      <c r="B68" s="11" t="s">
        <v>69</v>
      </c>
      <c r="C68" s="57">
        <v>1</v>
      </c>
      <c r="D68" s="57" t="s">
        <v>509</v>
      </c>
      <c r="E68" s="57">
        <v>2</v>
      </c>
      <c r="F68" s="2">
        <v>1</v>
      </c>
      <c r="G68" s="76">
        <v>0.23</v>
      </c>
      <c r="H68" s="2">
        <v>2</v>
      </c>
      <c r="I68" s="59">
        <f>ROUND((H68*G68*F68*E68*C68),2)</f>
        <v>0.92</v>
      </c>
      <c r="J68" s="1"/>
      <c r="K68" s="1"/>
      <c r="L68" s="1"/>
      <c r="M68" s="1"/>
    </row>
    <row r="69" spans="1:13" ht="15.75">
      <c r="A69" s="1"/>
      <c r="B69" s="11" t="s">
        <v>70</v>
      </c>
      <c r="C69" s="57">
        <v>1</v>
      </c>
      <c r="D69" s="57" t="s">
        <v>509</v>
      </c>
      <c r="E69" s="57">
        <v>2</v>
      </c>
      <c r="F69" s="2">
        <v>0.75</v>
      </c>
      <c r="G69" s="76">
        <v>0.23</v>
      </c>
      <c r="H69" s="2">
        <v>1.8</v>
      </c>
      <c r="I69" s="59">
        <f t="shared" ref="I69:I73" si="3">ROUND((H69*G69*F69*E69*C69),2)</f>
        <v>0.62</v>
      </c>
      <c r="J69" s="1"/>
      <c r="K69" s="1"/>
      <c r="L69" s="1"/>
      <c r="M69" s="1"/>
    </row>
    <row r="70" spans="1:13" ht="15.75">
      <c r="A70" s="1"/>
      <c r="B70" s="11" t="s">
        <v>71</v>
      </c>
      <c r="C70" s="57">
        <v>1</v>
      </c>
      <c r="D70" s="57" t="s">
        <v>509</v>
      </c>
      <c r="E70" s="57">
        <v>4</v>
      </c>
      <c r="F70" s="2">
        <v>1.5</v>
      </c>
      <c r="G70" s="76">
        <v>0.23</v>
      </c>
      <c r="H70" s="2">
        <v>1.2</v>
      </c>
      <c r="I70" s="59">
        <f t="shared" si="3"/>
        <v>1.66</v>
      </c>
      <c r="J70" s="1"/>
      <c r="K70" s="1"/>
      <c r="L70" s="1"/>
      <c r="M70" s="1"/>
    </row>
    <row r="71" spans="1:13" ht="30.75" customHeight="1">
      <c r="A71" s="1"/>
      <c r="B71" s="11" t="s">
        <v>66</v>
      </c>
      <c r="C71" s="57">
        <v>1</v>
      </c>
      <c r="D71" s="57" t="s">
        <v>509</v>
      </c>
      <c r="E71" s="57">
        <v>2</v>
      </c>
      <c r="F71" s="2">
        <v>0.6</v>
      </c>
      <c r="G71" s="76">
        <v>0.23</v>
      </c>
      <c r="H71" s="2">
        <v>0.3</v>
      </c>
      <c r="I71" s="59">
        <f t="shared" si="3"/>
        <v>0.08</v>
      </c>
      <c r="J71" s="1"/>
      <c r="K71" s="1"/>
      <c r="L71" s="1"/>
      <c r="M71" s="1"/>
    </row>
    <row r="72" spans="1:13" ht="15.75">
      <c r="A72" s="1"/>
      <c r="B72" s="11" t="s">
        <v>67</v>
      </c>
      <c r="C72" s="57">
        <v>1</v>
      </c>
      <c r="D72" s="57" t="s">
        <v>509</v>
      </c>
      <c r="E72" s="57">
        <v>2</v>
      </c>
      <c r="F72" s="2">
        <v>1.3</v>
      </c>
      <c r="G72" s="76">
        <v>0.23</v>
      </c>
      <c r="H72" s="2">
        <v>0.15</v>
      </c>
      <c r="I72" s="59">
        <f t="shared" si="3"/>
        <v>0.09</v>
      </c>
      <c r="J72" s="1"/>
      <c r="K72" s="1"/>
      <c r="L72" s="1"/>
      <c r="M72" s="1"/>
    </row>
    <row r="73" spans="1:13" ht="15.75">
      <c r="A73" s="1"/>
      <c r="B73" s="11" t="s">
        <v>68</v>
      </c>
      <c r="C73" s="57">
        <v>1</v>
      </c>
      <c r="D73" s="57" t="s">
        <v>509</v>
      </c>
      <c r="E73" s="57">
        <v>2</v>
      </c>
      <c r="F73" s="2">
        <v>1</v>
      </c>
      <c r="G73" s="76">
        <v>0.23</v>
      </c>
      <c r="H73" s="2">
        <v>0.15</v>
      </c>
      <c r="I73" s="59">
        <f t="shared" si="3"/>
        <v>7.0000000000000007E-2</v>
      </c>
      <c r="J73" s="1"/>
      <c r="K73" s="1"/>
      <c r="L73" s="1"/>
      <c r="M73" s="1"/>
    </row>
    <row r="74" spans="1:13" ht="15.75">
      <c r="A74" s="1"/>
      <c r="B74" s="1"/>
      <c r="C74" s="44"/>
      <c r="D74" s="44"/>
      <c r="E74" s="1"/>
      <c r="F74" s="1"/>
      <c r="G74" s="1"/>
      <c r="H74" s="1"/>
      <c r="I74" s="57">
        <f>SUM(I68:I73)</f>
        <v>3.44</v>
      </c>
      <c r="J74" s="1" t="s">
        <v>16</v>
      </c>
      <c r="K74" s="1"/>
      <c r="L74" s="1"/>
      <c r="M74" s="1"/>
    </row>
    <row r="75" spans="1:13">
      <c r="A75" s="1"/>
      <c r="B75" s="1"/>
      <c r="C75" s="44"/>
      <c r="D75" s="44"/>
      <c r="E75" s="1"/>
      <c r="F75" s="1"/>
      <c r="G75" s="291" t="s">
        <v>72</v>
      </c>
      <c r="H75" s="291"/>
      <c r="I75" s="67">
        <f>I66-I74</f>
        <v>29.999999999999996</v>
      </c>
      <c r="J75" s="1" t="s">
        <v>16</v>
      </c>
      <c r="K75" s="1"/>
      <c r="L75" s="1"/>
      <c r="M75" s="1"/>
    </row>
    <row r="76" spans="1:13" ht="85.5" customHeight="1">
      <c r="A76" s="188">
        <v>30</v>
      </c>
      <c r="B76" s="355" t="s">
        <v>631</v>
      </c>
      <c r="C76" s="355"/>
      <c r="D76" s="355"/>
      <c r="E76" s="355"/>
      <c r="F76" s="355"/>
      <c r="G76" s="355"/>
      <c r="H76" s="355"/>
      <c r="I76" s="355"/>
      <c r="J76" s="355"/>
      <c r="K76" s="355"/>
      <c r="L76" s="355"/>
      <c r="M76" s="355"/>
    </row>
    <row r="77" spans="1:13" ht="18.75" customHeight="1">
      <c r="A77" s="44"/>
      <c r="B77" s="44"/>
      <c r="C77" s="356" t="s">
        <v>82</v>
      </c>
      <c r="D77" s="357"/>
      <c r="E77" s="358">
        <f>2.6*3.1</f>
        <v>8.06</v>
      </c>
      <c r="F77" s="359"/>
      <c r="G77" s="44"/>
      <c r="H77" s="44"/>
      <c r="I77" s="55">
        <f>E77</f>
        <v>8.06</v>
      </c>
      <c r="J77" s="44"/>
      <c r="K77" s="44"/>
      <c r="L77" s="44"/>
      <c r="M77" s="44"/>
    </row>
    <row r="78" spans="1:13" ht="51" customHeight="1">
      <c r="A78" s="45">
        <v>31</v>
      </c>
      <c r="B78" s="363" t="s">
        <v>679</v>
      </c>
      <c r="C78" s="364"/>
      <c r="D78" s="364"/>
      <c r="E78" s="364"/>
      <c r="F78" s="364"/>
      <c r="G78" s="364"/>
      <c r="H78" s="364"/>
      <c r="I78" s="364"/>
      <c r="J78" s="364"/>
      <c r="K78" s="364"/>
      <c r="L78" s="364"/>
      <c r="M78" s="365"/>
    </row>
    <row r="79" spans="1:13">
      <c r="A79" s="1"/>
      <c r="B79" s="4" t="s">
        <v>73</v>
      </c>
      <c r="C79" s="4"/>
      <c r="D79" s="4"/>
      <c r="E79" s="1"/>
      <c r="F79" s="1"/>
      <c r="G79" s="1"/>
      <c r="H79" s="1"/>
      <c r="I79" s="1"/>
      <c r="J79" s="1"/>
      <c r="K79" s="1"/>
      <c r="L79" s="1"/>
      <c r="M79" s="1"/>
    </row>
    <row r="80" spans="1:13" ht="15.75">
      <c r="A80" s="1"/>
      <c r="B80" s="341" t="s">
        <v>74</v>
      </c>
      <c r="C80" s="57">
        <v>2</v>
      </c>
      <c r="D80" s="57" t="s">
        <v>509</v>
      </c>
      <c r="E80" s="57">
        <v>2</v>
      </c>
      <c r="F80" s="2">
        <v>8.5</v>
      </c>
      <c r="G80" s="2">
        <v>3.1</v>
      </c>
      <c r="H80" s="1">
        <f>ROUND((G80*F80*E80*C80),2)</f>
        <v>105.4</v>
      </c>
      <c r="I80" s="2"/>
      <c r="J80" s="1"/>
      <c r="K80" s="1"/>
      <c r="L80" s="1"/>
      <c r="M80" s="1"/>
    </row>
    <row r="81" spans="1:13" ht="15.75">
      <c r="A81" s="1"/>
      <c r="B81" s="341"/>
      <c r="C81" s="121">
        <v>1</v>
      </c>
      <c r="D81" s="57" t="s">
        <v>509</v>
      </c>
      <c r="E81" s="38">
        <v>4</v>
      </c>
      <c r="F81" s="2">
        <v>5</v>
      </c>
      <c r="G81" s="2">
        <v>3.1</v>
      </c>
      <c r="H81" s="2">
        <f t="shared" ref="H81:H88" si="4">ROUND((G81*F81*E81*C81),2)</f>
        <v>62</v>
      </c>
      <c r="I81" s="2"/>
      <c r="J81" s="1"/>
      <c r="K81" s="1"/>
      <c r="L81" s="1"/>
      <c r="M81" s="1"/>
    </row>
    <row r="82" spans="1:13">
      <c r="A82" s="1"/>
      <c r="B82" s="341"/>
      <c r="C82" s="121">
        <v>1</v>
      </c>
      <c r="D82" s="46" t="s">
        <v>509</v>
      </c>
      <c r="E82" s="38">
        <v>2</v>
      </c>
      <c r="F82" s="2">
        <v>1.83</v>
      </c>
      <c r="G82" s="2">
        <v>3.1</v>
      </c>
      <c r="H82" s="2">
        <f t="shared" si="4"/>
        <v>11.35</v>
      </c>
      <c r="I82" s="2"/>
      <c r="J82" s="1"/>
      <c r="K82" s="1"/>
      <c r="L82" s="1"/>
      <c r="M82" s="1"/>
    </row>
    <row r="83" spans="1:13">
      <c r="A83" s="1"/>
      <c r="B83" s="4" t="s">
        <v>75</v>
      </c>
      <c r="C83" s="4"/>
      <c r="D83" s="4"/>
      <c r="E83" s="1"/>
      <c r="F83" s="1"/>
      <c r="G83" s="1"/>
      <c r="H83" s="1"/>
      <c r="I83" s="1"/>
      <c r="J83" s="1"/>
      <c r="K83" s="1"/>
      <c r="L83" s="1"/>
      <c r="M83" s="1"/>
    </row>
    <row r="84" spans="1:13">
      <c r="A84" s="1"/>
      <c r="B84" s="1" t="s">
        <v>76</v>
      </c>
      <c r="C84" s="121">
        <v>1</v>
      </c>
      <c r="D84" s="46" t="s">
        <v>509</v>
      </c>
      <c r="E84" s="38">
        <v>2</v>
      </c>
      <c r="F84" s="2">
        <v>8.5</v>
      </c>
      <c r="G84" s="2">
        <v>3.1</v>
      </c>
      <c r="H84" s="2">
        <f t="shared" si="4"/>
        <v>52.7</v>
      </c>
      <c r="I84" s="2"/>
      <c r="J84" s="1"/>
      <c r="K84" s="1"/>
      <c r="L84" s="1"/>
      <c r="M84" s="1"/>
    </row>
    <row r="85" spans="1:13">
      <c r="A85" s="1"/>
      <c r="B85" s="1" t="s">
        <v>53</v>
      </c>
      <c r="C85" s="121">
        <v>1</v>
      </c>
      <c r="D85" s="46" t="s">
        <v>509</v>
      </c>
      <c r="E85" s="38">
        <v>2</v>
      </c>
      <c r="F85" s="2">
        <v>5</v>
      </c>
      <c r="G85" s="2">
        <v>3.1</v>
      </c>
      <c r="H85" s="2">
        <f t="shared" si="4"/>
        <v>31</v>
      </c>
      <c r="I85" s="2"/>
      <c r="J85" s="1"/>
      <c r="K85" s="1"/>
      <c r="L85" s="1"/>
      <c r="M85" s="1"/>
    </row>
    <row r="86" spans="1:13">
      <c r="A86" s="1"/>
      <c r="B86" s="1" t="s">
        <v>77</v>
      </c>
      <c r="C86" s="121">
        <v>1</v>
      </c>
      <c r="D86" s="46" t="s">
        <v>509</v>
      </c>
      <c r="E86" s="38">
        <v>2</v>
      </c>
      <c r="F86" s="122">
        <f>8.5+8.5+5+5</f>
        <v>27</v>
      </c>
      <c r="G86" s="2">
        <v>1</v>
      </c>
      <c r="H86" s="2">
        <f t="shared" si="4"/>
        <v>54</v>
      </c>
      <c r="I86" s="2"/>
      <c r="J86" s="1"/>
      <c r="K86" s="1"/>
      <c r="L86" s="1"/>
      <c r="M86" s="1"/>
    </row>
    <row r="87" spans="1:13">
      <c r="A87" s="1"/>
      <c r="B87" s="5" t="s">
        <v>78</v>
      </c>
      <c r="C87" s="121">
        <v>1</v>
      </c>
      <c r="D87" s="46" t="s">
        <v>509</v>
      </c>
      <c r="E87" s="38">
        <v>1</v>
      </c>
      <c r="F87" s="2">
        <v>6.4</v>
      </c>
      <c r="G87" s="2">
        <v>2</v>
      </c>
      <c r="H87" s="2">
        <f t="shared" si="4"/>
        <v>12.8</v>
      </c>
      <c r="I87" s="10"/>
      <c r="J87" s="1"/>
      <c r="K87" s="1"/>
      <c r="L87" s="1"/>
      <c r="M87" s="1"/>
    </row>
    <row r="88" spans="1:13">
      <c r="A88" s="1"/>
      <c r="B88" s="5" t="s">
        <v>680</v>
      </c>
      <c r="C88" s="121">
        <v>1</v>
      </c>
      <c r="D88" s="46" t="s">
        <v>509</v>
      </c>
      <c r="E88" s="38">
        <v>1</v>
      </c>
      <c r="F88" s="2">
        <f>8.5+8.5+5+5</f>
        <v>27</v>
      </c>
      <c r="G88" s="2">
        <v>0.6</v>
      </c>
      <c r="H88" s="2">
        <f t="shared" si="4"/>
        <v>16.2</v>
      </c>
      <c r="I88" s="3"/>
      <c r="J88" s="1"/>
      <c r="K88" s="1"/>
      <c r="L88" s="1"/>
      <c r="M88" s="1"/>
    </row>
    <row r="89" spans="1:13">
      <c r="A89" s="1"/>
      <c r="B89" s="1"/>
      <c r="C89" s="44"/>
      <c r="D89" s="44"/>
      <c r="E89" s="1"/>
      <c r="F89" s="1"/>
      <c r="G89" s="1"/>
      <c r="H89" s="1">
        <f>SUM(H80:H88)</f>
        <v>345.45</v>
      </c>
      <c r="I89" s="3"/>
      <c r="J89" s="1"/>
      <c r="K89" s="1"/>
      <c r="L89" s="1"/>
      <c r="M89" s="1"/>
    </row>
    <row r="90" spans="1:13">
      <c r="A90" s="1"/>
      <c r="B90" s="1" t="s">
        <v>62</v>
      </c>
      <c r="C90" s="44"/>
      <c r="D90" s="44"/>
      <c r="E90" s="1"/>
      <c r="F90" s="1"/>
      <c r="G90" s="1"/>
      <c r="H90" s="1"/>
      <c r="I90" s="1"/>
      <c r="J90" s="1"/>
      <c r="K90" s="1"/>
      <c r="L90" s="1"/>
      <c r="M90" s="1"/>
    </row>
    <row r="91" spans="1:13">
      <c r="A91" s="1"/>
      <c r="B91" s="1" t="s">
        <v>63</v>
      </c>
      <c r="C91" s="121">
        <v>2</v>
      </c>
      <c r="D91" s="46" t="s">
        <v>509</v>
      </c>
      <c r="E91" s="38">
        <v>4</v>
      </c>
      <c r="F91" s="2">
        <v>1</v>
      </c>
      <c r="G91" s="2">
        <v>2</v>
      </c>
      <c r="H91" s="2">
        <f t="shared" ref="H91:H93" si="5">ROUND((G91*F91*E91*C91),2)</f>
        <v>16</v>
      </c>
      <c r="I91" s="2"/>
      <c r="J91" s="1"/>
      <c r="K91" s="1"/>
      <c r="L91" s="1"/>
      <c r="M91" s="1"/>
    </row>
    <row r="92" spans="1:13">
      <c r="A92" s="1"/>
      <c r="B92" s="1" t="s">
        <v>79</v>
      </c>
      <c r="C92" s="121">
        <v>2</v>
      </c>
      <c r="D92" s="46" t="s">
        <v>509</v>
      </c>
      <c r="E92" s="38">
        <v>4</v>
      </c>
      <c r="F92" s="2">
        <v>1.5</v>
      </c>
      <c r="G92" s="2">
        <v>1.2</v>
      </c>
      <c r="H92" s="2">
        <f t="shared" si="5"/>
        <v>14.4</v>
      </c>
      <c r="I92" s="2"/>
      <c r="J92" s="1"/>
      <c r="K92" s="1"/>
      <c r="L92" s="1"/>
      <c r="M92" s="1"/>
    </row>
    <row r="93" spans="1:13">
      <c r="A93" s="1"/>
      <c r="B93" s="1" t="s">
        <v>80</v>
      </c>
      <c r="C93" s="121">
        <v>2</v>
      </c>
      <c r="D93" s="46" t="s">
        <v>509</v>
      </c>
      <c r="E93" s="38">
        <v>2</v>
      </c>
      <c r="F93" s="2">
        <v>0.6</v>
      </c>
      <c r="G93" s="2">
        <v>0.3</v>
      </c>
      <c r="H93" s="2">
        <f t="shared" si="5"/>
        <v>0.72</v>
      </c>
      <c r="I93" s="2"/>
      <c r="J93" s="1"/>
      <c r="K93" s="1"/>
      <c r="L93" s="1"/>
      <c r="M93" s="1"/>
    </row>
    <row r="94" spans="1:13">
      <c r="A94" s="1"/>
      <c r="B94" s="1"/>
      <c r="C94" s="44"/>
      <c r="D94" s="44"/>
      <c r="E94" s="1"/>
      <c r="F94" s="1"/>
      <c r="G94" s="1"/>
      <c r="H94" s="2">
        <f>SUM(H91:H93)</f>
        <v>31.119999999999997</v>
      </c>
      <c r="I94" s="2"/>
      <c r="J94" s="1"/>
      <c r="K94" s="1"/>
      <c r="L94" s="1"/>
      <c r="M94" s="1"/>
    </row>
    <row r="95" spans="1:13">
      <c r="A95" s="1"/>
      <c r="B95" s="1"/>
      <c r="C95" s="44"/>
      <c r="D95" s="44"/>
      <c r="E95" s="1"/>
      <c r="F95" s="307" t="s">
        <v>72</v>
      </c>
      <c r="G95" s="309"/>
      <c r="H95" s="12">
        <f>H89-H94</f>
        <v>314.33</v>
      </c>
      <c r="I95" s="44" t="s">
        <v>56</v>
      </c>
      <c r="J95" s="1"/>
      <c r="K95" s="1"/>
      <c r="L95" s="1"/>
      <c r="M95" s="1"/>
    </row>
    <row r="96" spans="1:13" ht="80.25" customHeight="1">
      <c r="A96" s="15">
        <v>32</v>
      </c>
      <c r="B96" s="360" t="s">
        <v>83</v>
      </c>
      <c r="C96" s="361"/>
      <c r="D96" s="361"/>
      <c r="E96" s="361"/>
      <c r="F96" s="361"/>
      <c r="G96" s="361"/>
      <c r="H96" s="361"/>
      <c r="I96" s="361"/>
      <c r="J96" s="361"/>
      <c r="K96" s="361"/>
      <c r="L96" s="361"/>
      <c r="M96" s="362"/>
    </row>
    <row r="97" spans="1:13">
      <c r="A97" s="1"/>
      <c r="B97" s="1" t="s">
        <v>64</v>
      </c>
      <c r="C97" s="44"/>
      <c r="D97" s="44"/>
      <c r="E97" s="1" t="s">
        <v>11</v>
      </c>
      <c r="F97" s="2">
        <v>1</v>
      </c>
      <c r="G97" s="2"/>
      <c r="H97" s="2">
        <v>2</v>
      </c>
      <c r="I97" s="2">
        <f>H97*F97*4</f>
        <v>8</v>
      </c>
      <c r="J97" s="1"/>
      <c r="K97" s="1"/>
      <c r="L97" s="1"/>
      <c r="M97" s="1"/>
    </row>
    <row r="98" spans="1:13">
      <c r="A98" s="1"/>
      <c r="B98" s="1" t="s">
        <v>65</v>
      </c>
      <c r="C98" s="44"/>
      <c r="D98" s="44"/>
      <c r="E98" s="1" t="s">
        <v>15</v>
      </c>
      <c r="F98" s="2">
        <v>0.75</v>
      </c>
      <c r="G98" s="2"/>
      <c r="H98" s="2">
        <v>1.8</v>
      </c>
      <c r="I98" s="2">
        <f>H98*F98*2</f>
        <v>2.7</v>
      </c>
      <c r="J98" s="1"/>
      <c r="K98" s="1"/>
      <c r="L98" s="1"/>
      <c r="M98" s="1"/>
    </row>
    <row r="99" spans="1:13">
      <c r="A99" s="1"/>
      <c r="B99" s="1"/>
      <c r="C99" s="44"/>
      <c r="D99" s="44"/>
      <c r="E99" s="1"/>
      <c r="F99" s="1"/>
      <c r="G99" s="1"/>
      <c r="H99" s="1"/>
      <c r="I99" s="3">
        <f>SUM(I97:I98)</f>
        <v>10.7</v>
      </c>
      <c r="J99" s="1" t="s">
        <v>56</v>
      </c>
      <c r="K99" s="1">
        <v>5470.34</v>
      </c>
      <c r="L99" s="1" t="s">
        <v>82</v>
      </c>
      <c r="M99" s="1">
        <f>K99*I99</f>
        <v>58532.637999999999</v>
      </c>
    </row>
    <row r="100" spans="1:13" ht="66.75" customHeight="1">
      <c r="A100" s="15">
        <v>33</v>
      </c>
      <c r="B100" s="335" t="s">
        <v>86</v>
      </c>
      <c r="C100" s="336"/>
      <c r="D100" s="336"/>
      <c r="E100" s="336"/>
      <c r="F100" s="336"/>
      <c r="G100" s="336"/>
      <c r="H100" s="336"/>
      <c r="I100" s="336"/>
      <c r="J100" s="336"/>
      <c r="K100" s="336"/>
      <c r="L100" s="336"/>
      <c r="M100" s="337"/>
    </row>
    <row r="101" spans="1:13">
      <c r="A101" s="1"/>
      <c r="B101" s="1" t="s">
        <v>87</v>
      </c>
      <c r="C101" s="44"/>
      <c r="D101" s="44"/>
      <c r="E101" s="1" t="s">
        <v>13</v>
      </c>
      <c r="F101" s="1">
        <v>5.4</v>
      </c>
      <c r="G101" s="1"/>
      <c r="H101" s="1">
        <v>1.5</v>
      </c>
      <c r="I101" s="1">
        <f>F101*H101</f>
        <v>8.1000000000000014</v>
      </c>
      <c r="J101" s="1"/>
      <c r="K101" s="125"/>
      <c r="L101" s="125"/>
      <c r="M101" s="16"/>
    </row>
    <row r="102" spans="1:13">
      <c r="A102" s="1"/>
      <c r="B102" s="1" t="s">
        <v>88</v>
      </c>
      <c r="C102" s="44"/>
      <c r="D102" s="44"/>
      <c r="E102" s="1" t="s">
        <v>9</v>
      </c>
      <c r="F102" s="1">
        <v>5.0999999999999996</v>
      </c>
      <c r="G102" s="1"/>
      <c r="H102" s="1">
        <v>1.5</v>
      </c>
      <c r="I102" s="1">
        <f>F102*H102</f>
        <v>7.6499999999999995</v>
      </c>
      <c r="J102" s="1"/>
      <c r="K102" s="125"/>
      <c r="L102" s="125"/>
      <c r="M102" s="16"/>
    </row>
    <row r="103" spans="1:13">
      <c r="A103" s="1"/>
      <c r="B103" s="1"/>
      <c r="C103" s="44"/>
      <c r="D103" s="44"/>
      <c r="E103" s="1"/>
      <c r="F103" s="1"/>
      <c r="G103" s="1"/>
      <c r="H103" s="1"/>
      <c r="I103" s="1">
        <f>SUM(I101:I102)</f>
        <v>15.75</v>
      </c>
      <c r="J103" s="1" t="s">
        <v>56</v>
      </c>
      <c r="K103" s="125"/>
      <c r="L103" s="125"/>
      <c r="M103" s="16"/>
    </row>
    <row r="104" spans="1:13" ht="72" customHeight="1">
      <c r="A104" s="45">
        <v>34</v>
      </c>
      <c r="B104" s="338" t="s">
        <v>688</v>
      </c>
      <c r="C104" s="339"/>
      <c r="D104" s="339"/>
      <c r="E104" s="339"/>
      <c r="F104" s="339"/>
      <c r="G104" s="339"/>
      <c r="H104" s="339"/>
      <c r="I104" s="339"/>
      <c r="J104" s="339"/>
      <c r="K104" s="339"/>
      <c r="L104" s="339"/>
      <c r="M104" s="340"/>
    </row>
    <row r="105" spans="1:13">
      <c r="A105" s="44"/>
      <c r="B105" s="4" t="s">
        <v>73</v>
      </c>
      <c r="C105" s="4"/>
      <c r="D105" s="4"/>
      <c r="E105" s="44"/>
      <c r="F105" s="44"/>
      <c r="G105" s="44"/>
      <c r="H105" s="44"/>
      <c r="I105" s="44"/>
      <c r="J105" s="125"/>
      <c r="K105" s="125"/>
      <c r="L105" s="125"/>
      <c r="M105" s="16"/>
    </row>
    <row r="106" spans="1:13" ht="15.75">
      <c r="A106" s="44"/>
      <c r="B106" s="341" t="s">
        <v>74</v>
      </c>
      <c r="C106" s="57">
        <v>2</v>
      </c>
      <c r="D106" s="57" t="s">
        <v>509</v>
      </c>
      <c r="E106" s="57">
        <v>2</v>
      </c>
      <c r="F106" s="2">
        <v>8.5</v>
      </c>
      <c r="G106" s="2">
        <v>3.1</v>
      </c>
      <c r="H106" s="44">
        <f>ROUND((G106*F106*E106*C106),2)</f>
        <v>105.4</v>
      </c>
      <c r="I106" s="2"/>
      <c r="J106" s="125"/>
      <c r="K106" s="125"/>
      <c r="L106" s="125"/>
      <c r="M106" s="16"/>
    </row>
    <row r="107" spans="1:13" ht="15.75">
      <c r="A107" s="44"/>
      <c r="B107" s="341"/>
      <c r="C107" s="121">
        <v>1</v>
      </c>
      <c r="D107" s="57" t="s">
        <v>509</v>
      </c>
      <c r="E107" s="38">
        <v>4</v>
      </c>
      <c r="F107" s="2">
        <v>5</v>
      </c>
      <c r="G107" s="2">
        <v>3.1</v>
      </c>
      <c r="H107" s="2">
        <f t="shared" ref="H107:H108" si="6">ROUND((G107*F107*E107*C107),2)</f>
        <v>62</v>
      </c>
      <c r="I107" s="2"/>
      <c r="J107" s="125"/>
      <c r="K107" s="125"/>
      <c r="L107" s="125"/>
      <c r="M107" s="16"/>
    </row>
    <row r="108" spans="1:13">
      <c r="A108" s="44"/>
      <c r="B108" s="341"/>
      <c r="C108" s="121">
        <v>1</v>
      </c>
      <c r="D108" s="46" t="s">
        <v>509</v>
      </c>
      <c r="E108" s="38">
        <v>2</v>
      </c>
      <c r="F108" s="2">
        <v>1.83</v>
      </c>
      <c r="G108" s="2">
        <v>3.1</v>
      </c>
      <c r="H108" s="2">
        <f t="shared" si="6"/>
        <v>11.35</v>
      </c>
      <c r="I108" s="2"/>
      <c r="J108" s="125"/>
      <c r="K108" s="125"/>
      <c r="L108" s="125"/>
      <c r="M108" s="16"/>
    </row>
    <row r="109" spans="1:13">
      <c r="A109" s="44"/>
      <c r="B109" s="4" t="s">
        <v>75</v>
      </c>
      <c r="C109" s="4"/>
      <c r="D109" s="4"/>
      <c r="E109" s="44"/>
      <c r="F109" s="44"/>
      <c r="G109" s="44"/>
      <c r="H109" s="44"/>
      <c r="I109" s="44"/>
      <c r="J109" s="125"/>
      <c r="K109" s="125"/>
      <c r="L109" s="125"/>
      <c r="M109" s="16"/>
    </row>
    <row r="110" spans="1:13">
      <c r="A110" s="44"/>
      <c r="B110" s="44" t="s">
        <v>76</v>
      </c>
      <c r="C110" s="121">
        <v>1</v>
      </c>
      <c r="D110" s="46" t="s">
        <v>509</v>
      </c>
      <c r="E110" s="38">
        <v>2</v>
      </c>
      <c r="F110" s="2">
        <v>8.5</v>
      </c>
      <c r="G110" s="2">
        <v>3.1</v>
      </c>
      <c r="H110" s="2">
        <f t="shared" ref="H110:H114" si="7">ROUND((G110*F110*E110*C110),2)</f>
        <v>52.7</v>
      </c>
      <c r="I110" s="2"/>
      <c r="J110" s="125"/>
      <c r="K110" s="125"/>
      <c r="L110" s="125"/>
      <c r="M110" s="16"/>
    </row>
    <row r="111" spans="1:13">
      <c r="A111" s="44"/>
      <c r="B111" s="44" t="s">
        <v>53</v>
      </c>
      <c r="C111" s="121">
        <v>1</v>
      </c>
      <c r="D111" s="46" t="s">
        <v>509</v>
      </c>
      <c r="E111" s="38">
        <v>2</v>
      </c>
      <c r="F111" s="2">
        <v>5</v>
      </c>
      <c r="G111" s="2">
        <v>3.1</v>
      </c>
      <c r="H111" s="2">
        <f t="shared" si="7"/>
        <v>31</v>
      </c>
      <c r="I111" s="2"/>
      <c r="J111" s="125"/>
      <c r="K111" s="125"/>
      <c r="L111" s="125"/>
      <c r="M111" s="16"/>
    </row>
    <row r="112" spans="1:13">
      <c r="A112" s="44"/>
      <c r="B112" s="44" t="s">
        <v>77</v>
      </c>
      <c r="C112" s="121">
        <v>1</v>
      </c>
      <c r="D112" s="46" t="s">
        <v>509</v>
      </c>
      <c r="E112" s="38">
        <v>2</v>
      </c>
      <c r="F112" s="122">
        <f>8.5+8.5+5+5</f>
        <v>27</v>
      </c>
      <c r="G112" s="2">
        <v>1</v>
      </c>
      <c r="H112" s="2">
        <f t="shared" si="7"/>
        <v>54</v>
      </c>
      <c r="I112" s="2"/>
      <c r="J112" s="125"/>
      <c r="K112" s="125"/>
      <c r="L112" s="125"/>
      <c r="M112" s="16"/>
    </row>
    <row r="113" spans="1:13">
      <c r="A113" s="44"/>
      <c r="B113" s="5" t="s">
        <v>78</v>
      </c>
      <c r="C113" s="121">
        <v>1</v>
      </c>
      <c r="D113" s="46" t="s">
        <v>509</v>
      </c>
      <c r="E113" s="38">
        <v>1</v>
      </c>
      <c r="F113" s="2">
        <v>6.4</v>
      </c>
      <c r="G113" s="2">
        <v>2</v>
      </c>
      <c r="H113" s="2">
        <f t="shared" si="7"/>
        <v>12.8</v>
      </c>
      <c r="I113" s="10"/>
      <c r="J113" s="125"/>
      <c r="K113" s="125"/>
      <c r="L113" s="125"/>
      <c r="M113" s="16"/>
    </row>
    <row r="114" spans="1:13">
      <c r="A114" s="44"/>
      <c r="B114" s="5" t="s">
        <v>680</v>
      </c>
      <c r="C114" s="121">
        <v>1</v>
      </c>
      <c r="D114" s="46" t="s">
        <v>509</v>
      </c>
      <c r="E114" s="38">
        <v>1</v>
      </c>
      <c r="F114" s="2">
        <f>8.5+8.5+5+5</f>
        <v>27</v>
      </c>
      <c r="G114" s="2">
        <v>0.6</v>
      </c>
      <c r="H114" s="2">
        <f t="shared" si="7"/>
        <v>16.2</v>
      </c>
      <c r="I114" s="3"/>
      <c r="J114" s="125"/>
      <c r="K114" s="125"/>
      <c r="L114" s="125"/>
      <c r="M114" s="16"/>
    </row>
    <row r="115" spans="1:13">
      <c r="A115" s="44"/>
      <c r="B115" s="44"/>
      <c r="C115" s="44"/>
      <c r="D115" s="44"/>
      <c r="E115" s="44"/>
      <c r="F115" s="44"/>
      <c r="G115" s="44"/>
      <c r="H115" s="44">
        <f>SUM(H106:H114)</f>
        <v>345.45</v>
      </c>
      <c r="I115" s="3"/>
      <c r="J115" s="125"/>
      <c r="K115" s="125"/>
      <c r="L115" s="125"/>
      <c r="M115" s="16"/>
    </row>
    <row r="116" spans="1:13">
      <c r="A116" s="44"/>
      <c r="B116" s="44" t="s">
        <v>62</v>
      </c>
      <c r="C116" s="44"/>
      <c r="D116" s="44"/>
      <c r="E116" s="44"/>
      <c r="F116" s="44"/>
      <c r="G116" s="44"/>
      <c r="H116" s="44"/>
      <c r="I116" s="44"/>
      <c r="J116" s="125"/>
      <c r="K116" s="125"/>
      <c r="L116" s="125"/>
      <c r="M116" s="16"/>
    </row>
    <row r="117" spans="1:13">
      <c r="A117" s="44"/>
      <c r="B117" s="44" t="s">
        <v>63</v>
      </c>
      <c r="C117" s="121">
        <v>2</v>
      </c>
      <c r="D117" s="46" t="s">
        <v>509</v>
      </c>
      <c r="E117" s="38">
        <v>4</v>
      </c>
      <c r="F117" s="2">
        <v>1</v>
      </c>
      <c r="G117" s="2">
        <v>2</v>
      </c>
      <c r="H117" s="2">
        <f t="shared" ref="H117:H119" si="8">ROUND((G117*F117*E117*C117),2)</f>
        <v>16</v>
      </c>
      <c r="I117" s="2"/>
      <c r="J117" s="125"/>
      <c r="K117" s="125"/>
      <c r="L117" s="125"/>
      <c r="M117" s="16"/>
    </row>
    <row r="118" spans="1:13">
      <c r="A118" s="44"/>
      <c r="B118" s="44" t="s">
        <v>79</v>
      </c>
      <c r="C118" s="121">
        <v>2</v>
      </c>
      <c r="D118" s="46" t="s">
        <v>509</v>
      </c>
      <c r="E118" s="38">
        <v>4</v>
      </c>
      <c r="F118" s="2">
        <v>1.5</v>
      </c>
      <c r="G118" s="2">
        <v>1.2</v>
      </c>
      <c r="H118" s="2">
        <f t="shared" si="8"/>
        <v>14.4</v>
      </c>
      <c r="I118" s="2"/>
      <c r="J118" s="125"/>
      <c r="K118" s="125"/>
      <c r="L118" s="125"/>
      <c r="M118" s="16"/>
    </row>
    <row r="119" spans="1:13">
      <c r="A119" s="44"/>
      <c r="B119" s="44" t="s">
        <v>80</v>
      </c>
      <c r="C119" s="121">
        <v>2</v>
      </c>
      <c r="D119" s="46" t="s">
        <v>509</v>
      </c>
      <c r="E119" s="38">
        <v>2</v>
      </c>
      <c r="F119" s="2">
        <v>0.6</v>
      </c>
      <c r="G119" s="2">
        <v>0.3</v>
      </c>
      <c r="H119" s="2">
        <f t="shared" si="8"/>
        <v>0.72</v>
      </c>
      <c r="I119" s="2"/>
      <c r="J119" s="125"/>
      <c r="K119" s="125"/>
      <c r="L119" s="125"/>
      <c r="M119" s="16"/>
    </row>
    <row r="120" spans="1:13">
      <c r="A120" s="44"/>
      <c r="B120" s="44"/>
      <c r="C120" s="44"/>
      <c r="D120" s="44"/>
      <c r="E120" s="44"/>
      <c r="F120" s="44"/>
      <c r="G120" s="44"/>
      <c r="H120" s="2">
        <f>SUM(H117:H119)</f>
        <v>31.119999999999997</v>
      </c>
      <c r="I120" s="2"/>
      <c r="J120" s="125"/>
      <c r="K120" s="125"/>
      <c r="L120" s="125"/>
      <c r="M120" s="16"/>
    </row>
    <row r="121" spans="1:13">
      <c r="A121" s="44"/>
      <c r="B121" s="44"/>
      <c r="C121" s="44"/>
      <c r="D121" s="44"/>
      <c r="E121" s="44"/>
      <c r="F121" s="307" t="s">
        <v>72</v>
      </c>
      <c r="G121" s="309"/>
      <c r="H121" s="12">
        <f>H115-H120</f>
        <v>314.33</v>
      </c>
      <c r="I121" s="44" t="s">
        <v>56</v>
      </c>
      <c r="J121" s="125"/>
      <c r="K121" s="125"/>
      <c r="L121" s="125"/>
      <c r="M121" s="16"/>
    </row>
    <row r="122" spans="1:13" ht="61.5" customHeight="1">
      <c r="A122" s="45">
        <v>35</v>
      </c>
      <c r="B122" s="326" t="s">
        <v>81</v>
      </c>
      <c r="C122" s="327"/>
      <c r="D122" s="327"/>
      <c r="E122" s="327"/>
      <c r="F122" s="327"/>
      <c r="G122" s="327"/>
      <c r="H122" s="327"/>
      <c r="I122" s="327"/>
      <c r="J122" s="327"/>
      <c r="K122" s="327"/>
      <c r="L122" s="327"/>
      <c r="M122" s="342"/>
    </row>
    <row r="123" spans="1:13" ht="15.75">
      <c r="A123" s="1"/>
      <c r="B123" s="44" t="s">
        <v>965</v>
      </c>
      <c r="C123" s="204">
        <v>1</v>
      </c>
      <c r="D123" s="204" t="s">
        <v>425</v>
      </c>
      <c r="E123" s="58">
        <v>2</v>
      </c>
      <c r="F123" s="58">
        <v>8.5</v>
      </c>
      <c r="G123" s="58">
        <v>5</v>
      </c>
      <c r="H123" s="58"/>
      <c r="I123" s="78">
        <f>G123*F123*E123</f>
        <v>85</v>
      </c>
      <c r="J123" s="58" t="s">
        <v>56</v>
      </c>
      <c r="K123" s="1"/>
      <c r="L123" s="1"/>
      <c r="M123" s="1"/>
    </row>
    <row r="124" spans="1:13">
      <c r="A124" s="1"/>
      <c r="B124" s="1"/>
      <c r="C124" s="44"/>
      <c r="D124" s="44"/>
      <c r="E124" s="1"/>
      <c r="F124" s="1"/>
      <c r="G124" s="1"/>
      <c r="H124" s="1"/>
      <c r="I124" s="1"/>
      <c r="J124" s="1"/>
      <c r="K124" s="1"/>
      <c r="L124" s="1"/>
      <c r="M124" s="1"/>
    </row>
    <row r="125" spans="1:13">
      <c r="A125" s="1"/>
      <c r="B125" s="1"/>
      <c r="C125" s="44"/>
      <c r="D125" s="44"/>
      <c r="E125" s="1"/>
      <c r="F125" s="1"/>
      <c r="G125" s="1"/>
      <c r="H125" s="1"/>
      <c r="I125" s="1"/>
      <c r="J125" s="1"/>
      <c r="K125" s="1"/>
      <c r="L125" s="1"/>
      <c r="M125" s="1"/>
    </row>
    <row r="126" spans="1:13" ht="92.25" customHeight="1">
      <c r="A126" s="45">
        <v>36</v>
      </c>
      <c r="B126" s="335" t="s">
        <v>84</v>
      </c>
      <c r="C126" s="336"/>
      <c r="D126" s="336"/>
      <c r="E126" s="336"/>
      <c r="F126" s="336"/>
      <c r="G126" s="336"/>
      <c r="H126" s="336"/>
      <c r="I126" s="336"/>
      <c r="J126" s="336"/>
      <c r="K126" s="336"/>
      <c r="L126" s="336"/>
      <c r="M126" s="337"/>
    </row>
    <row r="127" spans="1:13">
      <c r="A127" s="1"/>
      <c r="B127" s="1" t="s">
        <v>85</v>
      </c>
      <c r="C127" s="204">
        <v>1</v>
      </c>
      <c r="D127" s="44" t="s">
        <v>509</v>
      </c>
      <c r="E127" s="204">
        <v>4</v>
      </c>
      <c r="F127" s="204">
        <v>1.8</v>
      </c>
      <c r="G127" s="204"/>
      <c r="H127" s="204">
        <v>1.5</v>
      </c>
      <c r="I127" s="204">
        <f>H127*F127*E127*C127</f>
        <v>10.8</v>
      </c>
      <c r="J127" s="204" t="s">
        <v>56</v>
      </c>
      <c r="K127" s="1"/>
      <c r="L127" s="1"/>
      <c r="M127" s="1"/>
    </row>
    <row r="128" spans="1:13">
      <c r="A128" s="1"/>
      <c r="B128" s="1"/>
      <c r="C128" s="44"/>
      <c r="D128" s="44"/>
      <c r="E128" s="1"/>
      <c r="F128" s="1"/>
      <c r="G128" s="1"/>
      <c r="H128" s="1"/>
      <c r="I128" s="1"/>
      <c r="J128" s="1"/>
      <c r="K128" s="1"/>
      <c r="L128" s="1"/>
      <c r="M128" s="1"/>
    </row>
    <row r="129" spans="1:13">
      <c r="A129" s="1"/>
      <c r="B129" s="1"/>
      <c r="C129" s="44"/>
      <c r="D129" s="44"/>
      <c r="E129" s="1"/>
      <c r="F129" s="1"/>
      <c r="G129" s="1"/>
      <c r="H129" s="1"/>
      <c r="I129" s="1"/>
      <c r="J129" s="1"/>
      <c r="K129" s="1"/>
      <c r="L129" s="1"/>
      <c r="M129" s="1"/>
    </row>
    <row r="130" spans="1:13" ht="26.25">
      <c r="A130" s="13"/>
      <c r="B130" s="18" t="s">
        <v>89</v>
      </c>
      <c r="C130" s="18"/>
      <c r="D130" s="18"/>
      <c r="E130" s="1"/>
      <c r="F130" s="1"/>
      <c r="G130" s="1"/>
      <c r="H130" s="1"/>
      <c r="I130" s="1"/>
      <c r="J130" s="1"/>
      <c r="K130" s="1"/>
      <c r="L130" s="1"/>
      <c r="M130" s="1"/>
    </row>
    <row r="131" spans="1:13" ht="76.5">
      <c r="A131" s="252">
        <v>37</v>
      </c>
      <c r="B131" s="19" t="s">
        <v>90</v>
      </c>
      <c r="C131" s="35"/>
      <c r="D131" s="35"/>
      <c r="E131" s="19"/>
      <c r="F131" s="19"/>
      <c r="G131" s="19"/>
      <c r="H131" s="19"/>
      <c r="I131" s="19"/>
      <c r="J131" s="19"/>
      <c r="K131" s="1"/>
      <c r="L131" s="1"/>
      <c r="M131" s="1"/>
    </row>
    <row r="132" spans="1:13">
      <c r="A132" s="13"/>
      <c r="B132" s="1"/>
      <c r="C132" s="204">
        <v>1</v>
      </c>
      <c r="D132" s="204" t="s">
        <v>509</v>
      </c>
      <c r="E132" s="204">
        <v>1</v>
      </c>
      <c r="F132" s="1">
        <v>40</v>
      </c>
      <c r="G132" s="1"/>
      <c r="H132" s="1"/>
      <c r="I132" s="4">
        <v>40</v>
      </c>
      <c r="J132" s="1" t="s">
        <v>41</v>
      </c>
      <c r="K132" s="1"/>
      <c r="L132" s="1"/>
      <c r="M132" s="1"/>
    </row>
    <row r="133" spans="1:13">
      <c r="A133" s="13"/>
      <c r="B133" s="1"/>
      <c r="C133" s="44"/>
      <c r="D133" s="44"/>
      <c r="E133" s="1"/>
      <c r="F133" s="1"/>
      <c r="G133" s="1"/>
      <c r="H133" s="1"/>
      <c r="I133" s="1"/>
      <c r="J133" s="1"/>
      <c r="K133" s="1"/>
      <c r="L133" s="1"/>
      <c r="M133" s="1"/>
    </row>
    <row r="134" spans="1:13" ht="63.75">
      <c r="A134" s="252">
        <v>38</v>
      </c>
      <c r="B134" s="19" t="s">
        <v>91</v>
      </c>
      <c r="C134" s="251"/>
      <c r="D134" s="251"/>
      <c r="E134" s="251"/>
      <c r="F134" s="19"/>
      <c r="G134" s="19"/>
      <c r="H134" s="19"/>
      <c r="I134" s="19"/>
      <c r="J134" s="19"/>
      <c r="K134" s="1"/>
      <c r="L134" s="1"/>
      <c r="M134" s="1"/>
    </row>
    <row r="135" spans="1:13">
      <c r="A135" s="13"/>
      <c r="B135" s="1"/>
      <c r="C135" s="204">
        <v>1</v>
      </c>
      <c r="D135" s="204" t="s">
        <v>509</v>
      </c>
      <c r="E135" s="204">
        <v>1</v>
      </c>
      <c r="F135" s="1"/>
      <c r="G135" s="1"/>
      <c r="H135" s="1"/>
      <c r="I135" s="4">
        <v>1</v>
      </c>
      <c r="J135" s="1" t="s">
        <v>28</v>
      </c>
      <c r="K135" s="1"/>
      <c r="L135" s="15"/>
      <c r="M135" s="1"/>
    </row>
    <row r="136" spans="1:13">
      <c r="B136" s="7"/>
      <c r="C136" s="7"/>
      <c r="D136" s="7"/>
      <c r="E136" s="7"/>
      <c r="F136" s="7"/>
      <c r="G136" s="7"/>
      <c r="H136" s="7"/>
      <c r="I136" s="7"/>
      <c r="J136" s="7"/>
      <c r="K136" s="7"/>
      <c r="L136" s="7"/>
      <c r="M136" s="1"/>
    </row>
    <row r="137" spans="1:13" ht="229.5">
      <c r="A137" s="45">
        <v>39</v>
      </c>
      <c r="B137" s="20" t="s">
        <v>92</v>
      </c>
      <c r="C137" s="35"/>
      <c r="D137" s="35"/>
      <c r="E137" s="20"/>
      <c r="F137" s="20"/>
      <c r="G137" s="20"/>
      <c r="H137" s="20"/>
      <c r="I137" s="20"/>
      <c r="J137" s="20"/>
      <c r="K137" s="1"/>
      <c r="L137" s="1"/>
      <c r="M137" s="1"/>
    </row>
    <row r="138" spans="1:13">
      <c r="A138" s="1"/>
      <c r="B138" s="1"/>
      <c r="C138" s="204">
        <v>1</v>
      </c>
      <c r="D138" s="204" t="s">
        <v>509</v>
      </c>
      <c r="E138" s="204">
        <v>3</v>
      </c>
      <c r="F138" s="1"/>
      <c r="G138" s="1"/>
      <c r="H138" s="1"/>
      <c r="I138" s="1">
        <v>3</v>
      </c>
      <c r="J138" s="1" t="s">
        <v>28</v>
      </c>
      <c r="K138" s="1"/>
      <c r="L138" s="15"/>
      <c r="M138" s="1"/>
    </row>
    <row r="139" spans="1:13" ht="89.25">
      <c r="A139" s="45">
        <v>40</v>
      </c>
      <c r="B139" s="20" t="s">
        <v>93</v>
      </c>
      <c r="C139" s="35"/>
      <c r="D139" s="35"/>
      <c r="E139" s="20"/>
      <c r="F139" s="20"/>
      <c r="G139" s="20"/>
      <c r="H139" s="20"/>
      <c r="I139" s="20"/>
      <c r="J139" s="20"/>
      <c r="K139" s="1"/>
      <c r="L139" s="1"/>
      <c r="M139" s="1"/>
    </row>
    <row r="140" spans="1:13">
      <c r="A140" s="1"/>
      <c r="B140" s="1"/>
      <c r="C140" s="204">
        <v>1</v>
      </c>
      <c r="D140" s="204" t="s">
        <v>509</v>
      </c>
      <c r="E140" s="204">
        <v>1</v>
      </c>
      <c r="F140" s="1"/>
      <c r="G140" s="1"/>
      <c r="H140" s="1"/>
      <c r="I140" s="1">
        <v>1</v>
      </c>
      <c r="J140" s="1" t="s">
        <v>28</v>
      </c>
      <c r="K140" s="1"/>
      <c r="L140" s="42"/>
      <c r="M140" s="1"/>
    </row>
    <row r="141" spans="1:13" ht="25.5">
      <c r="A141" s="45">
        <v>41</v>
      </c>
      <c r="B141" s="22" t="s">
        <v>94</v>
      </c>
      <c r="C141" s="251"/>
      <c r="D141" s="251"/>
      <c r="E141" s="251"/>
      <c r="F141" s="22"/>
      <c r="G141" s="22"/>
      <c r="H141" s="22"/>
      <c r="I141" s="22"/>
      <c r="J141" s="22"/>
      <c r="K141" s="1"/>
      <c r="L141" s="1"/>
      <c r="M141" s="1"/>
    </row>
    <row r="142" spans="1:13">
      <c r="A142" s="1"/>
      <c r="B142" s="1"/>
      <c r="C142" s="204">
        <v>1</v>
      </c>
      <c r="D142" s="204" t="s">
        <v>509</v>
      </c>
      <c r="E142" s="204">
        <v>1</v>
      </c>
      <c r="F142" s="38">
        <v>1</v>
      </c>
      <c r="G142" s="1"/>
      <c r="H142" s="1"/>
      <c r="I142" s="1">
        <v>1</v>
      </c>
      <c r="J142" s="21" t="s">
        <v>28</v>
      </c>
      <c r="K142" s="1"/>
      <c r="L142" s="15"/>
      <c r="M142" s="1"/>
    </row>
    <row r="143" spans="1:13" ht="102">
      <c r="A143" s="45">
        <v>42</v>
      </c>
      <c r="B143" s="22" t="s">
        <v>95</v>
      </c>
      <c r="C143" s="251"/>
      <c r="D143" s="251"/>
      <c r="E143" s="251"/>
      <c r="F143" s="251"/>
      <c r="G143" s="22"/>
      <c r="H143" s="22"/>
      <c r="I143" s="22"/>
      <c r="J143" s="22"/>
      <c r="K143" s="1"/>
      <c r="L143" s="1"/>
      <c r="M143" s="1"/>
    </row>
    <row r="144" spans="1:13">
      <c r="A144" s="1"/>
      <c r="B144" s="1"/>
      <c r="C144" s="204">
        <v>1</v>
      </c>
      <c r="D144" s="204" t="s">
        <v>509</v>
      </c>
      <c r="E144" s="204">
        <v>1</v>
      </c>
      <c r="F144" s="38">
        <v>1</v>
      </c>
      <c r="G144" s="1"/>
      <c r="H144" s="1"/>
      <c r="I144" s="1">
        <v>1</v>
      </c>
      <c r="J144" s="1" t="s">
        <v>28</v>
      </c>
      <c r="K144" s="1"/>
      <c r="L144" s="15"/>
      <c r="M144" s="1"/>
    </row>
    <row r="145" spans="1:13">
      <c r="A145" s="1"/>
      <c r="B145" s="1"/>
      <c r="C145" s="44"/>
      <c r="D145" s="44"/>
      <c r="E145" s="1"/>
      <c r="F145" s="1"/>
      <c r="G145" s="1"/>
      <c r="H145" s="1"/>
      <c r="I145" s="1"/>
      <c r="J145" s="1"/>
      <c r="K145" s="1"/>
      <c r="L145" s="1"/>
      <c r="M145" s="1"/>
    </row>
    <row r="146" spans="1:13" ht="38.25">
      <c r="A146" s="45">
        <v>43</v>
      </c>
      <c r="B146" s="23" t="s">
        <v>96</v>
      </c>
      <c r="C146" s="35"/>
      <c r="D146" s="35"/>
      <c r="E146" s="17"/>
      <c r="F146" s="17"/>
      <c r="G146" s="17"/>
      <c r="H146" s="17"/>
      <c r="I146" s="17"/>
      <c r="J146" s="17"/>
      <c r="K146" s="15"/>
      <c r="L146" s="15"/>
      <c r="M146" s="1"/>
    </row>
    <row r="147" spans="1:13">
      <c r="A147" s="1"/>
      <c r="B147" s="1"/>
      <c r="C147" s="204">
        <v>1</v>
      </c>
      <c r="D147" s="204" t="s">
        <v>509</v>
      </c>
      <c r="E147" s="45">
        <v>1</v>
      </c>
      <c r="F147" s="15">
        <v>15</v>
      </c>
      <c r="G147" s="15"/>
      <c r="H147" s="15"/>
      <c r="I147" s="15">
        <v>15</v>
      </c>
      <c r="J147" s="15" t="s">
        <v>41</v>
      </c>
      <c r="K147" s="15"/>
      <c r="L147" s="15"/>
      <c r="M147" s="1"/>
    </row>
    <row r="148" spans="1:13" ht="25.5">
      <c r="A148" s="45">
        <v>44</v>
      </c>
      <c r="B148" s="24" t="s">
        <v>97</v>
      </c>
      <c r="C148" s="35"/>
      <c r="D148" s="35"/>
      <c r="F148" s="44"/>
      <c r="G148" s="44"/>
      <c r="H148" s="44"/>
      <c r="I148" s="44"/>
      <c r="K148" s="15"/>
      <c r="L148" s="15"/>
      <c r="M148" s="1"/>
    </row>
    <row r="149" spans="1:13">
      <c r="A149" s="1"/>
      <c r="B149" s="1"/>
      <c r="C149" s="254">
        <v>1</v>
      </c>
      <c r="D149" s="254" t="s">
        <v>509</v>
      </c>
      <c r="E149" s="255">
        <v>1</v>
      </c>
      <c r="F149" s="36">
        <v>1</v>
      </c>
      <c r="G149" s="44"/>
      <c r="H149" s="44"/>
      <c r="I149" s="36">
        <v>1</v>
      </c>
      <c r="J149" s="34" t="s">
        <v>28</v>
      </c>
      <c r="K149" s="1"/>
      <c r="L149" s="1"/>
      <c r="M149" s="1"/>
    </row>
    <row r="150" spans="1:13" ht="51">
      <c r="A150" s="45">
        <v>45</v>
      </c>
      <c r="B150" s="25" t="s">
        <v>98</v>
      </c>
      <c r="C150" s="37"/>
      <c r="D150" s="35"/>
      <c r="F150" s="44"/>
      <c r="G150" s="44"/>
      <c r="H150" s="44"/>
      <c r="I150" s="44"/>
      <c r="K150" s="15"/>
      <c r="L150" s="15"/>
      <c r="M150" s="39"/>
    </row>
    <row r="151" spans="1:13">
      <c r="A151" s="1"/>
      <c r="B151" s="1"/>
      <c r="C151" s="204">
        <v>1</v>
      </c>
      <c r="D151" s="204" t="s">
        <v>509</v>
      </c>
      <c r="E151" s="17">
        <v>1</v>
      </c>
      <c r="F151" s="17">
        <v>10</v>
      </c>
      <c r="G151" s="32"/>
      <c r="H151" s="32"/>
      <c r="I151" s="17">
        <v>10</v>
      </c>
      <c r="J151" s="17" t="s">
        <v>41</v>
      </c>
      <c r="K151" s="1"/>
      <c r="L151" s="1"/>
      <c r="M151" s="15"/>
    </row>
    <row r="152" spans="1:13" ht="51">
      <c r="A152" s="45">
        <v>46</v>
      </c>
      <c r="B152" s="26" t="s">
        <v>99</v>
      </c>
      <c r="C152" s="256"/>
      <c r="D152" s="256"/>
      <c r="E152" s="17"/>
      <c r="F152" s="17"/>
      <c r="G152" s="17"/>
      <c r="H152" s="17"/>
      <c r="I152" s="17"/>
      <c r="J152" s="17"/>
      <c r="K152" s="15"/>
      <c r="L152" s="15"/>
      <c r="M152" s="39"/>
    </row>
    <row r="153" spans="1:13">
      <c r="A153" s="1"/>
      <c r="B153" s="1"/>
      <c r="C153" s="204">
        <v>1</v>
      </c>
      <c r="D153" s="204" t="s">
        <v>509</v>
      </c>
      <c r="E153" s="204">
        <v>1</v>
      </c>
      <c r="F153" s="38">
        <v>30</v>
      </c>
      <c r="G153" s="1"/>
      <c r="H153" s="1"/>
      <c r="I153" s="38">
        <f>F153</f>
        <v>30</v>
      </c>
      <c r="J153" s="17" t="s">
        <v>41</v>
      </c>
      <c r="K153" s="1"/>
      <c r="L153" s="1"/>
      <c r="M153" s="15"/>
    </row>
    <row r="154" spans="1:13" ht="51">
      <c r="A154" s="15">
        <v>47</v>
      </c>
      <c r="B154" s="27" t="s">
        <v>100</v>
      </c>
      <c r="C154" s="35"/>
      <c r="D154" s="35"/>
      <c r="E154" s="17"/>
      <c r="F154" s="17"/>
      <c r="G154" s="17"/>
      <c r="H154" s="17"/>
      <c r="I154" s="17"/>
      <c r="J154" s="17"/>
      <c r="K154" s="15"/>
      <c r="L154" s="15"/>
      <c r="M154" s="15"/>
    </row>
    <row r="155" spans="1:13">
      <c r="A155" s="1"/>
      <c r="B155" s="1"/>
      <c r="C155" s="204">
        <v>1</v>
      </c>
      <c r="D155" s="204" t="s">
        <v>509</v>
      </c>
      <c r="E155" s="204">
        <v>3</v>
      </c>
      <c r="F155" s="38">
        <v>3</v>
      </c>
      <c r="G155" s="1"/>
      <c r="H155" s="1"/>
      <c r="I155" s="38">
        <v>3</v>
      </c>
      <c r="J155" s="204" t="s">
        <v>28</v>
      </c>
      <c r="K155" s="1"/>
      <c r="L155" s="1"/>
      <c r="M155" s="15"/>
    </row>
    <row r="156" spans="1:13" ht="42" customHeight="1">
      <c r="A156" s="15">
        <v>48</v>
      </c>
      <c r="B156" s="28" t="s">
        <v>101</v>
      </c>
      <c r="C156" s="37"/>
      <c r="D156" s="37"/>
      <c r="E156" s="17"/>
      <c r="F156" s="17"/>
      <c r="G156" s="17"/>
      <c r="H156" s="17"/>
      <c r="I156" s="17"/>
      <c r="J156" s="33"/>
      <c r="K156" s="15"/>
      <c r="L156" s="15"/>
      <c r="M156" s="15"/>
    </row>
    <row r="157" spans="1:13">
      <c r="A157" s="1"/>
      <c r="B157" s="13"/>
      <c r="C157" s="205">
        <v>1</v>
      </c>
      <c r="D157" s="205" t="s">
        <v>509</v>
      </c>
      <c r="E157" s="204">
        <v>1</v>
      </c>
      <c r="F157" s="38">
        <v>1</v>
      </c>
      <c r="G157" s="38"/>
      <c r="H157" s="38"/>
      <c r="I157" s="38">
        <v>1</v>
      </c>
      <c r="J157" s="33" t="s">
        <v>28</v>
      </c>
      <c r="K157" s="1"/>
      <c r="L157" s="1"/>
      <c r="M157" s="15"/>
    </row>
    <row r="158" spans="1:13" ht="38.25">
      <c r="A158" s="45">
        <v>49</v>
      </c>
      <c r="B158" s="29" t="s">
        <v>102</v>
      </c>
      <c r="C158" s="35"/>
      <c r="D158" s="251"/>
      <c r="E158" s="17"/>
      <c r="F158" s="17"/>
      <c r="G158" s="17"/>
      <c r="H158" s="17"/>
      <c r="I158" s="17"/>
      <c r="J158" s="17"/>
      <c r="K158" s="15"/>
      <c r="L158" s="15"/>
      <c r="M158" s="15"/>
    </row>
    <row r="159" spans="1:13">
      <c r="A159" s="1"/>
      <c r="B159" s="1"/>
      <c r="C159" s="204">
        <v>1</v>
      </c>
      <c r="D159" s="204" t="s">
        <v>509</v>
      </c>
      <c r="E159" s="204">
        <v>2</v>
      </c>
      <c r="F159" s="38">
        <v>2</v>
      </c>
      <c r="G159" s="204"/>
      <c r="H159" s="204"/>
      <c r="I159" s="38">
        <v>2</v>
      </c>
      <c r="J159" s="17" t="s">
        <v>28</v>
      </c>
      <c r="K159" s="1"/>
      <c r="L159" s="1"/>
      <c r="M159" s="15"/>
    </row>
    <row r="160" spans="1:13" ht="25.5">
      <c r="A160" s="45">
        <v>50</v>
      </c>
      <c r="B160" s="30" t="s">
        <v>103</v>
      </c>
      <c r="C160" s="37"/>
      <c r="D160" s="37"/>
      <c r="E160" s="17"/>
      <c r="F160" s="17"/>
      <c r="G160" s="17"/>
      <c r="H160" s="17"/>
      <c r="I160" s="17"/>
      <c r="J160" s="17"/>
      <c r="K160" s="15"/>
      <c r="L160" s="15"/>
      <c r="M160" s="15"/>
    </row>
    <row r="161" spans="1:13">
      <c r="A161" s="1"/>
      <c r="B161" s="1"/>
      <c r="C161" s="204">
        <v>1</v>
      </c>
      <c r="D161" s="204" t="s">
        <v>509</v>
      </c>
      <c r="E161" s="204">
        <v>2</v>
      </c>
      <c r="F161" s="38">
        <v>2</v>
      </c>
      <c r="G161" s="1"/>
      <c r="H161" s="1"/>
      <c r="I161" s="38">
        <v>2</v>
      </c>
      <c r="J161" s="17" t="s">
        <v>28</v>
      </c>
      <c r="K161" s="1"/>
      <c r="L161" s="1"/>
      <c r="M161" s="15"/>
    </row>
    <row r="162" spans="1:13" ht="76.5">
      <c r="A162" s="45">
        <v>51</v>
      </c>
      <c r="B162" s="31" t="s">
        <v>104</v>
      </c>
      <c r="C162" s="37"/>
      <c r="D162" s="37"/>
      <c r="E162" s="17"/>
      <c r="F162" s="17"/>
      <c r="G162" s="17"/>
      <c r="H162" s="17"/>
      <c r="I162" s="17"/>
      <c r="J162" s="17"/>
      <c r="K162" s="15"/>
      <c r="L162" s="15"/>
      <c r="M162" s="39"/>
    </row>
    <row r="163" spans="1:13">
      <c r="A163" s="1"/>
      <c r="B163" s="1"/>
      <c r="C163" s="204">
        <v>1</v>
      </c>
      <c r="D163" s="204" t="s">
        <v>509</v>
      </c>
      <c r="E163" s="204">
        <v>1</v>
      </c>
      <c r="F163" s="38">
        <v>500</v>
      </c>
      <c r="G163" s="1"/>
      <c r="H163" s="1"/>
      <c r="I163" s="38">
        <v>500</v>
      </c>
      <c r="J163" s="17" t="s">
        <v>105</v>
      </c>
      <c r="K163" s="1"/>
      <c r="L163" s="1"/>
      <c r="M163" s="1"/>
    </row>
    <row r="164" spans="1:13" ht="60">
      <c r="A164" s="45">
        <v>52</v>
      </c>
      <c r="B164" s="253" t="s">
        <v>966</v>
      </c>
      <c r="C164" s="44"/>
      <c r="D164" s="44"/>
      <c r="E164" s="1"/>
      <c r="F164" s="1"/>
      <c r="G164" s="1"/>
      <c r="H164" s="1"/>
      <c r="I164" s="1"/>
      <c r="J164" s="1"/>
      <c r="K164" s="1"/>
      <c r="L164" s="1"/>
      <c r="M164" s="1"/>
    </row>
    <row r="165" spans="1:13">
      <c r="A165" s="1"/>
      <c r="B165" s="1"/>
      <c r="C165" s="204">
        <v>1</v>
      </c>
      <c r="D165" s="204" t="s">
        <v>509</v>
      </c>
      <c r="E165" s="204">
        <v>4</v>
      </c>
      <c r="F165" s="38">
        <v>4</v>
      </c>
      <c r="G165" s="1"/>
      <c r="H165" s="1"/>
      <c r="I165" s="38">
        <v>4</v>
      </c>
      <c r="J165" s="204" t="s">
        <v>28</v>
      </c>
      <c r="K165" s="1"/>
      <c r="L165" s="1"/>
      <c r="M165" s="1"/>
    </row>
    <row r="166" spans="1:13" ht="27">
      <c r="A166" s="195"/>
      <c r="B166" s="332" t="s">
        <v>262</v>
      </c>
      <c r="C166" s="333"/>
      <c r="D166" s="333"/>
      <c r="E166" s="334"/>
      <c r="F166" s="144"/>
      <c r="G166" s="1"/>
      <c r="H166" s="1"/>
      <c r="I166" s="1"/>
      <c r="J166" s="1"/>
      <c r="K166" s="1"/>
      <c r="L166" s="1"/>
      <c r="M166" s="1"/>
    </row>
    <row r="167" spans="1:13" ht="69.75" customHeight="1">
      <c r="A167" s="156">
        <v>53</v>
      </c>
      <c r="B167" s="317" t="s">
        <v>772</v>
      </c>
      <c r="C167" s="318"/>
      <c r="D167" s="318"/>
      <c r="E167" s="319"/>
      <c r="F167" s="141" t="s">
        <v>23</v>
      </c>
      <c r="G167" s="143">
        <v>2</v>
      </c>
      <c r="H167" s="1"/>
      <c r="I167" s="55">
        <f>G167</f>
        <v>2</v>
      </c>
      <c r="J167" s="141" t="s">
        <v>23</v>
      </c>
      <c r="K167" s="1"/>
      <c r="L167" s="1"/>
      <c r="M167" s="1"/>
    </row>
    <row r="168" spans="1:13" ht="73.5" customHeight="1">
      <c r="A168" s="156">
        <v>54</v>
      </c>
      <c r="B168" s="317" t="s">
        <v>280</v>
      </c>
      <c r="C168" s="318"/>
      <c r="D168" s="318"/>
      <c r="E168" s="319"/>
      <c r="F168" s="141" t="s">
        <v>40</v>
      </c>
      <c r="G168" s="143">
        <v>26</v>
      </c>
      <c r="H168" s="1"/>
      <c r="I168" s="55">
        <f t="shared" ref="I168:I173" si="9">G168</f>
        <v>26</v>
      </c>
      <c r="J168" s="141" t="s">
        <v>40</v>
      </c>
      <c r="K168" s="1"/>
      <c r="L168" s="1"/>
      <c r="M168" s="1"/>
    </row>
    <row r="169" spans="1:13" ht="132" customHeight="1">
      <c r="A169" s="156">
        <v>55</v>
      </c>
      <c r="B169" s="317" t="s">
        <v>281</v>
      </c>
      <c r="C169" s="318"/>
      <c r="D169" s="318"/>
      <c r="E169" s="319"/>
      <c r="F169" s="141" t="s">
        <v>282</v>
      </c>
      <c r="G169" s="143">
        <v>2</v>
      </c>
      <c r="H169" s="1"/>
      <c r="I169" s="55">
        <f t="shared" si="9"/>
        <v>2</v>
      </c>
      <c r="J169" s="141" t="s">
        <v>282</v>
      </c>
      <c r="K169" s="1"/>
      <c r="L169" s="1"/>
      <c r="M169" s="1"/>
    </row>
    <row r="170" spans="1:13" ht="79.5" customHeight="1">
      <c r="A170" s="156">
        <v>56</v>
      </c>
      <c r="B170" s="314" t="s">
        <v>780</v>
      </c>
      <c r="C170" s="315"/>
      <c r="D170" s="315"/>
      <c r="E170" s="315"/>
      <c r="F170" s="141" t="s">
        <v>40</v>
      </c>
      <c r="G170" s="185">
        <f>30</f>
        <v>30</v>
      </c>
      <c r="H170" s="1"/>
      <c r="I170" s="55">
        <f t="shared" si="9"/>
        <v>30</v>
      </c>
      <c r="J170" s="141" t="s">
        <v>40</v>
      </c>
      <c r="K170" s="1"/>
      <c r="L170" s="1"/>
      <c r="M170" s="1"/>
    </row>
    <row r="171" spans="1:13" ht="76.5" customHeight="1">
      <c r="A171" s="156">
        <v>57</v>
      </c>
      <c r="B171" s="326" t="s">
        <v>969</v>
      </c>
      <c r="C171" s="327"/>
      <c r="D171" s="327"/>
      <c r="E171" s="327"/>
      <c r="F171" s="141" t="s">
        <v>23</v>
      </c>
      <c r="G171" s="62">
        <v>1</v>
      </c>
      <c r="H171" s="9"/>
      <c r="I171" s="62">
        <f>H171+G171</f>
        <v>1</v>
      </c>
      <c r="J171" s="141" t="s">
        <v>23</v>
      </c>
      <c r="K171" s="9"/>
      <c r="L171" s="1"/>
      <c r="M171" s="1"/>
    </row>
    <row r="172" spans="1:13" ht="145.5" customHeight="1">
      <c r="A172" s="199">
        <v>58</v>
      </c>
      <c r="B172" s="328" t="s">
        <v>363</v>
      </c>
      <c r="C172" s="329"/>
      <c r="D172" s="329"/>
      <c r="E172" s="330"/>
      <c r="F172" s="141" t="s">
        <v>23</v>
      </c>
      <c r="G172" s="143">
        <v>2</v>
      </c>
      <c r="H172" s="1"/>
      <c r="I172" s="55">
        <f t="shared" si="9"/>
        <v>2</v>
      </c>
      <c r="J172" s="141" t="s">
        <v>23</v>
      </c>
      <c r="K172" s="1"/>
      <c r="L172" s="1"/>
      <c r="M172" s="1"/>
    </row>
    <row r="173" spans="1:13" ht="66" customHeight="1">
      <c r="A173" s="156">
        <v>59</v>
      </c>
      <c r="B173" s="331" t="s">
        <v>364</v>
      </c>
      <c r="C173" s="331"/>
      <c r="D173" s="331"/>
      <c r="E173" s="331"/>
      <c r="F173" s="151" t="s">
        <v>23</v>
      </c>
      <c r="G173" s="143">
        <v>2</v>
      </c>
      <c r="H173" s="44"/>
      <c r="I173" s="55">
        <f t="shared" si="9"/>
        <v>2</v>
      </c>
      <c r="J173" s="151" t="s">
        <v>23</v>
      </c>
      <c r="K173" s="44"/>
      <c r="L173" s="44"/>
      <c r="M173" s="44"/>
    </row>
  </sheetData>
  <mergeCells count="34">
    <mergeCell ref="A1:M1"/>
    <mergeCell ref="B62:B63"/>
    <mergeCell ref="G23:H23"/>
    <mergeCell ref="B14:M14"/>
    <mergeCell ref="B24:M24"/>
    <mergeCell ref="B3:M3"/>
    <mergeCell ref="B57:M57"/>
    <mergeCell ref="B46:M46"/>
    <mergeCell ref="G55:H55"/>
    <mergeCell ref="B44:M44"/>
    <mergeCell ref="B60:M60"/>
    <mergeCell ref="B100:M100"/>
    <mergeCell ref="B104:M104"/>
    <mergeCell ref="B106:B108"/>
    <mergeCell ref="F95:G95"/>
    <mergeCell ref="B38:M38"/>
    <mergeCell ref="B76:M76"/>
    <mergeCell ref="C77:D77"/>
    <mergeCell ref="E77:F77"/>
    <mergeCell ref="B96:M96"/>
    <mergeCell ref="B78:M78"/>
    <mergeCell ref="G75:H75"/>
    <mergeCell ref="B80:B82"/>
    <mergeCell ref="B170:E170"/>
    <mergeCell ref="B171:E171"/>
    <mergeCell ref="B172:E172"/>
    <mergeCell ref="B173:E173"/>
    <mergeCell ref="F121:G121"/>
    <mergeCell ref="B166:E166"/>
    <mergeCell ref="B167:E167"/>
    <mergeCell ref="B168:E168"/>
    <mergeCell ref="B169:E169"/>
    <mergeCell ref="B126:M126"/>
    <mergeCell ref="B122:M122"/>
  </mergeCells>
  <pageMargins left="0.7" right="0.7" top="0.75" bottom="0.75" header="0.3" footer="0.3"/>
  <pageSetup paperSize="9" scale="85" orientation="landscape" r:id="rId1"/>
</worksheet>
</file>

<file path=xl/worksheets/sheet5.xml><?xml version="1.0" encoding="utf-8"?>
<worksheet xmlns="http://schemas.openxmlformats.org/spreadsheetml/2006/main" xmlns:r="http://schemas.openxmlformats.org/officeDocument/2006/relationships">
  <dimension ref="A1:L32"/>
  <sheetViews>
    <sheetView view="pageBreakPreview" zoomScale="112" zoomScaleSheetLayoutView="112" workbookViewId="0">
      <selection activeCell="A2" sqref="A2:G2"/>
    </sheetView>
  </sheetViews>
  <sheetFormatPr defaultRowHeight="15"/>
  <cols>
    <col min="1" max="1" width="9.28515625" style="425" bestFit="1" customWidth="1"/>
    <col min="2" max="2" width="54.5703125" style="425" customWidth="1"/>
    <col min="3" max="3" width="18.5703125" style="425" customWidth="1"/>
    <col min="4" max="4" width="18.7109375" style="425" customWidth="1"/>
    <col min="5" max="5" width="17.5703125" style="425" customWidth="1"/>
    <col min="6" max="6" width="16.28515625" style="425" customWidth="1"/>
    <col min="7" max="7" width="21.5703125" style="425" customWidth="1"/>
    <col min="8" max="16384" width="9.140625" style="425"/>
  </cols>
  <sheetData>
    <row r="1" spans="1:7" ht="17.25">
      <c r="A1" s="466" t="s">
        <v>1036</v>
      </c>
      <c r="B1" s="466"/>
      <c r="C1" s="466"/>
      <c r="D1" s="466"/>
      <c r="E1" s="466"/>
      <c r="F1" s="466"/>
      <c r="G1" s="168"/>
    </row>
    <row r="2" spans="1:7" ht="44.25" customHeight="1">
      <c r="A2" s="459" t="s">
        <v>277</v>
      </c>
      <c r="B2" s="459"/>
      <c r="C2" s="459"/>
      <c r="D2" s="459"/>
      <c r="E2" s="459"/>
      <c r="F2" s="459"/>
      <c r="G2" s="459"/>
    </row>
    <row r="3" spans="1:7" ht="30">
      <c r="A3" s="451" t="s">
        <v>252</v>
      </c>
      <c r="B3" s="451" t="s">
        <v>1</v>
      </c>
      <c r="C3" s="452" t="s">
        <v>254</v>
      </c>
      <c r="D3" s="452" t="s">
        <v>1035</v>
      </c>
      <c r="E3" s="451" t="s">
        <v>44</v>
      </c>
      <c r="F3" s="451" t="s">
        <v>45</v>
      </c>
      <c r="G3" s="168" t="s">
        <v>238</v>
      </c>
    </row>
    <row r="4" spans="1:7" ht="17.25" customHeight="1">
      <c r="A4" s="168">
        <v>1</v>
      </c>
      <c r="B4" s="453" t="s">
        <v>253</v>
      </c>
      <c r="C4" s="168"/>
      <c r="D4" s="168"/>
      <c r="E4" s="168"/>
      <c r="F4" s="168"/>
      <c r="G4" s="467" t="s">
        <v>1034</v>
      </c>
    </row>
    <row r="5" spans="1:7">
      <c r="A5" s="454" t="s">
        <v>135</v>
      </c>
      <c r="B5" s="168" t="s">
        <v>255</v>
      </c>
      <c r="C5" s="168">
        <v>3156905.34</v>
      </c>
      <c r="D5" s="168"/>
      <c r="E5" s="168"/>
      <c r="F5" s="168"/>
      <c r="G5" s="467"/>
    </row>
    <row r="6" spans="1:7">
      <c r="A6" s="454" t="s">
        <v>137</v>
      </c>
      <c r="B6" s="168" t="s">
        <v>256</v>
      </c>
      <c r="C6" s="168">
        <v>9773049.3100000005</v>
      </c>
      <c r="D6" s="455"/>
      <c r="E6" s="168"/>
      <c r="F6" s="168"/>
      <c r="G6" s="467"/>
    </row>
    <row r="7" spans="1:7" ht="15" customHeight="1">
      <c r="A7" s="454" t="s">
        <v>138</v>
      </c>
      <c r="B7" s="168" t="s">
        <v>257</v>
      </c>
      <c r="C7" s="168">
        <v>16544699.76</v>
      </c>
      <c r="D7" s="455"/>
      <c r="E7" s="168"/>
      <c r="F7" s="168"/>
      <c r="G7" s="467"/>
    </row>
    <row r="8" spans="1:7">
      <c r="A8" s="454" t="s">
        <v>258</v>
      </c>
      <c r="B8" s="168" t="s">
        <v>251</v>
      </c>
      <c r="C8" s="168"/>
      <c r="D8" s="455"/>
      <c r="E8" s="168"/>
      <c r="F8" s="168"/>
      <c r="G8" s="467"/>
    </row>
    <row r="9" spans="1:7">
      <c r="A9" s="168"/>
      <c r="B9" s="168"/>
      <c r="C9" s="456">
        <v>29475000</v>
      </c>
      <c r="D9" s="456">
        <f>FIS!C306</f>
        <v>32258271.751867071</v>
      </c>
      <c r="E9" s="456">
        <f>D9-C9</f>
        <v>2783271.7518670708</v>
      </c>
      <c r="F9" s="168"/>
      <c r="G9" s="467"/>
    </row>
    <row r="10" spans="1:7">
      <c r="A10" s="168"/>
      <c r="B10" s="168"/>
      <c r="C10" s="168"/>
      <c r="D10" s="168"/>
      <c r="E10" s="168"/>
      <c r="F10" s="168"/>
      <c r="G10" s="168"/>
    </row>
    <row r="11" spans="1:7">
      <c r="A11" s="168">
        <v>2</v>
      </c>
      <c r="B11" s="453" t="s">
        <v>259</v>
      </c>
      <c r="C11" s="168"/>
      <c r="D11" s="168"/>
      <c r="E11" s="168"/>
      <c r="F11" s="168"/>
      <c r="G11" s="168"/>
    </row>
    <row r="12" spans="1:7">
      <c r="A12" s="454" t="s">
        <v>135</v>
      </c>
      <c r="B12" s="168" t="s">
        <v>260</v>
      </c>
      <c r="C12" s="455">
        <v>1500000</v>
      </c>
      <c r="D12" s="168"/>
      <c r="E12" s="168"/>
      <c r="F12" s="455">
        <f>C12</f>
        <v>1500000</v>
      </c>
      <c r="G12" s="168"/>
    </row>
    <row r="13" spans="1:7">
      <c r="A13" s="454" t="s">
        <v>137</v>
      </c>
      <c r="B13" s="168" t="s">
        <v>261</v>
      </c>
      <c r="C13" s="455">
        <v>500000</v>
      </c>
      <c r="D13" s="168"/>
      <c r="E13" s="168"/>
      <c r="F13" s="455">
        <f>C13</f>
        <v>500000</v>
      </c>
      <c r="G13" s="168"/>
    </row>
    <row r="14" spans="1:7">
      <c r="A14" s="454" t="s">
        <v>138</v>
      </c>
      <c r="B14" s="168" t="s">
        <v>263</v>
      </c>
      <c r="C14" s="455">
        <f>443000</f>
        <v>443000</v>
      </c>
      <c r="D14" s="455">
        <f>C14</f>
        <v>443000</v>
      </c>
      <c r="E14" s="168"/>
      <c r="F14" s="455">
        <f>C14</f>
        <v>443000</v>
      </c>
      <c r="G14" s="168"/>
    </row>
    <row r="15" spans="1:7">
      <c r="A15" s="454" t="s">
        <v>177</v>
      </c>
      <c r="B15" s="168" t="s">
        <v>264</v>
      </c>
      <c r="C15" s="455">
        <f>1474000</f>
        <v>1474000</v>
      </c>
      <c r="D15" s="455">
        <f>D9*2.5%</f>
        <v>806456.79379667679</v>
      </c>
      <c r="E15" s="168"/>
      <c r="F15" s="455">
        <f>C15-D15</f>
        <v>667543.20620332321</v>
      </c>
      <c r="G15" s="168"/>
    </row>
    <row r="16" spans="1:7">
      <c r="A16" s="454" t="s">
        <v>178</v>
      </c>
      <c r="B16" s="168" t="s">
        <v>265</v>
      </c>
      <c r="C16" s="455">
        <v>148000</v>
      </c>
      <c r="D16" s="455">
        <f>C16</f>
        <v>148000</v>
      </c>
      <c r="E16" s="455">
        <f>D16-C16</f>
        <v>0</v>
      </c>
      <c r="F16" s="168"/>
      <c r="G16" s="168"/>
    </row>
    <row r="17" spans="1:12">
      <c r="A17" s="454" t="s">
        <v>179</v>
      </c>
      <c r="B17" s="168" t="s">
        <v>266</v>
      </c>
      <c r="C17" s="455">
        <v>1474000</v>
      </c>
      <c r="D17" s="168"/>
      <c r="E17" s="168"/>
      <c r="F17" s="455">
        <f>C17</f>
        <v>1474000</v>
      </c>
      <c r="G17" s="168"/>
    </row>
    <row r="18" spans="1:12">
      <c r="A18" s="454" t="s">
        <v>180</v>
      </c>
      <c r="B18" s="168" t="s">
        <v>267</v>
      </c>
      <c r="C18" s="455">
        <v>30000</v>
      </c>
      <c r="D18" s="455">
        <f>D9*0.001</f>
        <v>32258.271751867072</v>
      </c>
      <c r="E18" s="455">
        <f>D18-C18</f>
        <v>2258.2717518670725</v>
      </c>
      <c r="F18" s="168"/>
      <c r="G18" s="168"/>
      <c r="H18" s="425">
        <f>294*16%</f>
        <v>47.04</v>
      </c>
    </row>
    <row r="19" spans="1:12">
      <c r="A19" s="454" t="s">
        <v>271</v>
      </c>
      <c r="B19" s="168" t="s">
        <v>268</v>
      </c>
      <c r="C19" s="455">
        <v>119722.48</v>
      </c>
      <c r="D19" s="455">
        <v>130000</v>
      </c>
      <c r="E19" s="455">
        <f>D19-C19</f>
        <v>10277.520000000004</v>
      </c>
      <c r="F19" s="168"/>
      <c r="G19" s="168"/>
    </row>
    <row r="20" spans="1:12">
      <c r="A20" s="454" t="s">
        <v>272</v>
      </c>
      <c r="B20" s="168" t="s">
        <v>269</v>
      </c>
      <c r="C20" s="455">
        <v>3555000</v>
      </c>
      <c r="D20" s="455">
        <f>D9*0.12</f>
        <v>3870992.6102240481</v>
      </c>
      <c r="E20" s="455">
        <f>D20-C20</f>
        <v>315992.61022404814</v>
      </c>
      <c r="F20" s="168"/>
      <c r="G20" s="168"/>
    </row>
    <row r="21" spans="1:12">
      <c r="A21" s="454" t="s">
        <v>273</v>
      </c>
      <c r="B21" s="168" t="s">
        <v>270</v>
      </c>
      <c r="C21" s="455">
        <v>781277.52</v>
      </c>
      <c r="D21" s="168">
        <f>38000000-37688979.43</f>
        <v>311020.5700000003</v>
      </c>
      <c r="E21" s="168"/>
      <c r="F21" s="455">
        <f>C21</f>
        <v>781277.52</v>
      </c>
      <c r="G21" s="168"/>
    </row>
    <row r="22" spans="1:12">
      <c r="A22" s="168"/>
      <c r="B22" s="168"/>
      <c r="C22" s="456">
        <f>SUM(C9:C21)</f>
        <v>39500000</v>
      </c>
      <c r="D22" s="456">
        <f>SUM(D9:D21)</f>
        <v>37999999.997639656</v>
      </c>
      <c r="E22" s="456">
        <f>SUM(E9:E21)</f>
        <v>3111800.1538429861</v>
      </c>
      <c r="F22" s="456">
        <f>SUM(F12:F21)</f>
        <v>5365820.7262033224</v>
      </c>
      <c r="G22" s="168"/>
    </row>
    <row r="23" spans="1:12">
      <c r="A23" s="168"/>
      <c r="B23" s="168"/>
      <c r="C23" s="168"/>
      <c r="D23" s="168"/>
      <c r="E23" s="168"/>
      <c r="F23" s="168"/>
      <c r="G23" s="168"/>
    </row>
    <row r="24" spans="1:12">
      <c r="A24" s="168"/>
      <c r="B24" s="453" t="s">
        <v>274</v>
      </c>
      <c r="C24" s="456">
        <f>C22</f>
        <v>39500000</v>
      </c>
      <c r="D24" s="168"/>
      <c r="E24" s="168"/>
      <c r="F24" s="168"/>
      <c r="G24" s="168"/>
    </row>
    <row r="25" spans="1:12">
      <c r="A25" s="168"/>
      <c r="B25" s="453" t="s">
        <v>275</v>
      </c>
      <c r="C25" s="456">
        <f>D22</f>
        <v>37999999.997639656</v>
      </c>
      <c r="D25" s="168"/>
      <c r="E25" s="168"/>
      <c r="F25" s="168"/>
      <c r="G25" s="168"/>
    </row>
    <row r="26" spans="1:12">
      <c r="A26" s="168"/>
      <c r="B26" s="453" t="s">
        <v>283</v>
      </c>
      <c r="C26" s="456">
        <f>C24-C25</f>
        <v>1500000.0023603439</v>
      </c>
      <c r="D26" s="168"/>
      <c r="E26" s="168"/>
      <c r="F26" s="168"/>
      <c r="G26" s="168"/>
    </row>
    <row r="27" spans="1:12">
      <c r="A27" s="168"/>
      <c r="B27" s="457" t="s">
        <v>284</v>
      </c>
      <c r="C27" s="456">
        <f>C26/C24*100</f>
        <v>3.7974683604059338</v>
      </c>
      <c r="D27" s="453" t="s">
        <v>276</v>
      </c>
      <c r="E27" s="168"/>
      <c r="F27" s="168"/>
      <c r="G27" s="168"/>
    </row>
    <row r="28" spans="1:12">
      <c r="A28" s="168"/>
      <c r="B28" s="168"/>
      <c r="C28" s="168"/>
      <c r="D28" s="168"/>
      <c r="E28" s="168"/>
      <c r="F28" s="168"/>
      <c r="G28" s="168"/>
    </row>
    <row r="29" spans="1:12">
      <c r="A29" s="168"/>
      <c r="B29" s="168"/>
      <c r="C29" s="168"/>
      <c r="D29" s="168"/>
      <c r="E29" s="168"/>
      <c r="F29" s="168"/>
      <c r="G29" s="168"/>
    </row>
    <row r="30" spans="1:12">
      <c r="A30" s="168"/>
      <c r="B30" s="168"/>
      <c r="C30" s="168"/>
      <c r="D30" s="168"/>
      <c r="E30" s="168"/>
      <c r="F30" s="168"/>
      <c r="G30" s="168"/>
    </row>
    <row r="31" spans="1:12" s="461" customFormat="1" ht="12.75">
      <c r="A31" s="468" t="s">
        <v>1030</v>
      </c>
      <c r="B31" s="468"/>
      <c r="C31" s="469" t="s">
        <v>1031</v>
      </c>
      <c r="D31" s="469"/>
      <c r="E31" s="470" t="s">
        <v>1032</v>
      </c>
      <c r="F31" s="470"/>
      <c r="G31" s="470"/>
      <c r="L31" s="460"/>
    </row>
    <row r="32" spans="1:12" s="461" customFormat="1" ht="12.75">
      <c r="A32" s="462" t="s">
        <v>1033</v>
      </c>
      <c r="B32" s="462"/>
      <c r="C32" s="463" t="s">
        <v>1033</v>
      </c>
      <c r="D32" s="464"/>
      <c r="E32" s="463" t="s">
        <v>1033</v>
      </c>
      <c r="F32" s="465"/>
      <c r="G32" s="465"/>
      <c r="L32" s="460"/>
    </row>
  </sheetData>
  <mergeCells count="9">
    <mergeCell ref="A31:B31"/>
    <mergeCell ref="E31:G31"/>
    <mergeCell ref="A32:B32"/>
    <mergeCell ref="E32:G32"/>
    <mergeCell ref="C31:D31"/>
    <mergeCell ref="C32:D32"/>
    <mergeCell ref="A1:F1"/>
    <mergeCell ref="A2:G2"/>
    <mergeCell ref="G4:G9"/>
  </mergeCells>
  <pageMargins left="0.70866141732283472" right="0.70866141732283472" top="0.52" bottom="0.74803149606299213" header="0.31496062992125984" footer="0.31496062992125984"/>
  <pageSetup paperSize="5" scale="102" orientation="landscape" verticalDpi="0"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filterMode="1"/>
  <dimension ref="A1:O314"/>
  <sheetViews>
    <sheetView tabSelected="1" view="pageBreakPreview" zoomScale="77" zoomScaleNormal="80" zoomScaleSheetLayoutView="77" workbookViewId="0">
      <selection activeCell="B2" sqref="B2:L2"/>
    </sheetView>
  </sheetViews>
  <sheetFormatPr defaultColWidth="9.140625" defaultRowHeight="16.5"/>
  <cols>
    <col min="1" max="1" width="5.140625" style="391" customWidth="1"/>
    <col min="2" max="2" width="39.7109375" style="410" customWidth="1"/>
    <col min="3" max="3" width="9.140625" style="391"/>
    <col min="4" max="4" width="5.7109375" style="391" customWidth="1"/>
    <col min="5" max="5" width="11.42578125" style="391" bestFit="1" customWidth="1"/>
    <col min="6" max="6" width="17.85546875" style="391" customWidth="1"/>
    <col min="7" max="7" width="2" style="391" customWidth="1"/>
    <col min="8" max="8" width="10.7109375" style="391" customWidth="1"/>
    <col min="9" max="9" width="13.85546875" style="391" customWidth="1"/>
    <col min="10" max="10" width="19.140625" style="391" customWidth="1"/>
    <col min="11" max="11" width="13.7109375" style="391" customWidth="1"/>
    <col min="12" max="12" width="14.42578125" style="391" customWidth="1"/>
    <col min="13" max="13" width="27.5703125" style="391" customWidth="1"/>
    <col min="14" max="16384" width="9.140625" style="391"/>
  </cols>
  <sheetData>
    <row r="1" spans="1:15" ht="24" customHeight="1">
      <c r="B1" s="458" t="s">
        <v>277</v>
      </c>
      <c r="C1" s="458"/>
      <c r="D1" s="458"/>
      <c r="E1" s="458"/>
      <c r="F1" s="458"/>
      <c r="G1" s="458"/>
      <c r="H1" s="458"/>
      <c r="I1" s="458"/>
      <c r="J1" s="458"/>
      <c r="K1" s="458"/>
      <c r="L1" s="458"/>
    </row>
    <row r="2" spans="1:15" ht="24" customHeight="1">
      <c r="B2" s="896" t="s">
        <v>1038</v>
      </c>
      <c r="C2" s="896"/>
      <c r="D2" s="896"/>
      <c r="E2" s="896"/>
      <c r="F2" s="896"/>
      <c r="G2" s="896"/>
      <c r="H2" s="896"/>
      <c r="I2" s="896"/>
      <c r="J2" s="896"/>
      <c r="K2" s="896"/>
      <c r="L2" s="896"/>
    </row>
    <row r="3" spans="1:15" ht="17.25">
      <c r="A3" s="229" t="s">
        <v>300</v>
      </c>
      <c r="B3" s="393" t="s">
        <v>301</v>
      </c>
      <c r="C3" s="366" t="s">
        <v>302</v>
      </c>
      <c r="D3" s="366"/>
      <c r="E3" s="366"/>
      <c r="F3" s="366"/>
      <c r="G3" s="49"/>
      <c r="H3" s="366" t="s">
        <v>303</v>
      </c>
      <c r="I3" s="366"/>
      <c r="J3" s="366"/>
      <c r="K3" s="50"/>
      <c r="L3" s="50"/>
      <c r="M3" s="582"/>
    </row>
    <row r="4" spans="1:15" ht="17.25">
      <c r="A4" s="229" t="s">
        <v>304</v>
      </c>
      <c r="B4" s="393"/>
      <c r="C4" s="229" t="s">
        <v>6</v>
      </c>
      <c r="D4" s="229" t="s">
        <v>7</v>
      </c>
      <c r="E4" s="229" t="s">
        <v>305</v>
      </c>
      <c r="F4" s="229" t="s">
        <v>306</v>
      </c>
      <c r="G4" s="49"/>
      <c r="H4" s="229" t="s">
        <v>6</v>
      </c>
      <c r="I4" s="229" t="s">
        <v>307</v>
      </c>
      <c r="J4" s="229" t="s">
        <v>306</v>
      </c>
      <c r="K4" s="229" t="s">
        <v>44</v>
      </c>
      <c r="L4" s="51" t="s">
        <v>45</v>
      </c>
      <c r="M4" s="583" t="s">
        <v>238</v>
      </c>
    </row>
    <row r="5" spans="1:15" ht="27">
      <c r="A5" s="52"/>
      <c r="B5" s="394" t="s">
        <v>308</v>
      </c>
      <c r="C5" s="52"/>
      <c r="D5" s="52"/>
      <c r="E5" s="52"/>
      <c r="F5" s="52"/>
      <c r="G5" s="53"/>
      <c r="H5" s="52"/>
      <c r="I5" s="52"/>
      <c r="J5" s="52"/>
      <c r="K5" s="52"/>
      <c r="L5" s="54"/>
      <c r="M5" s="583"/>
    </row>
    <row r="6" spans="1:15" ht="54">
      <c r="A6" s="471">
        <v>1</v>
      </c>
      <c r="B6" s="395" t="s">
        <v>975</v>
      </c>
      <c r="C6" s="142">
        <v>330</v>
      </c>
      <c r="D6" s="142" t="s">
        <v>16</v>
      </c>
      <c r="E6" s="142">
        <v>101.04</v>
      </c>
      <c r="F6" s="143">
        <f>ROUND((E6*C6),2)</f>
        <v>33343.199999999997</v>
      </c>
      <c r="G6" s="161"/>
      <c r="H6" s="143">
        <v>330</v>
      </c>
      <c r="I6" s="143">
        <v>101.04</v>
      </c>
      <c r="J6" s="143">
        <f>ROUND((I6*H6),2)</f>
        <v>33343.199999999997</v>
      </c>
      <c r="K6" s="147"/>
      <c r="L6" s="147"/>
      <c r="M6" s="151"/>
    </row>
    <row r="7" spans="1:15" ht="31.5" customHeight="1">
      <c r="A7" s="471"/>
      <c r="B7" s="396" t="s">
        <v>309</v>
      </c>
      <c r="D7" s="142"/>
      <c r="E7" s="142"/>
      <c r="F7" s="161"/>
      <c r="G7" s="161"/>
      <c r="H7" s="145">
        <v>420.57</v>
      </c>
      <c r="I7" s="143">
        <v>101.04</v>
      </c>
      <c r="J7" s="143">
        <f>ROUND((I7*H7),2)</f>
        <v>42494.39</v>
      </c>
      <c r="K7" s="143">
        <f>J7</f>
        <v>42494.39</v>
      </c>
      <c r="L7" s="147"/>
      <c r="M7" s="184" t="s">
        <v>310</v>
      </c>
    </row>
    <row r="8" spans="1:15" ht="40.5">
      <c r="A8" s="471">
        <v>2</v>
      </c>
      <c r="B8" s="395" t="s">
        <v>976</v>
      </c>
      <c r="C8" s="142">
        <v>22</v>
      </c>
      <c r="D8" s="142" t="s">
        <v>16</v>
      </c>
      <c r="E8" s="142">
        <v>4142.08</v>
      </c>
      <c r="F8" s="143">
        <f>ROUND((E8*C8),2)</f>
        <v>91125.759999999995</v>
      </c>
      <c r="G8" s="161"/>
      <c r="H8" s="143">
        <v>22</v>
      </c>
      <c r="I8" s="143">
        <v>4142.08</v>
      </c>
      <c r="J8" s="143">
        <f>ROUND((I8*H8),2)</f>
        <v>91125.759999999995</v>
      </c>
      <c r="K8" s="147"/>
      <c r="L8" s="147"/>
      <c r="M8" s="151"/>
      <c r="O8" s="391">
        <f>36.27+22</f>
        <v>58.27</v>
      </c>
    </row>
    <row r="9" spans="1:15" ht="31.5" customHeight="1">
      <c r="A9" s="471"/>
      <c r="B9" s="396" t="s">
        <v>309</v>
      </c>
      <c r="C9" s="142"/>
      <c r="D9" s="142"/>
      <c r="E9" s="142"/>
      <c r="F9" s="161"/>
      <c r="G9" s="161"/>
      <c r="H9" s="141">
        <f>36.27</f>
        <v>36.270000000000003</v>
      </c>
      <c r="I9" s="143">
        <v>4142.08</v>
      </c>
      <c r="J9" s="143">
        <f>ROUND((I9*H9),2)</f>
        <v>150233.24</v>
      </c>
      <c r="K9" s="143">
        <f>J9</f>
        <v>150233.24</v>
      </c>
      <c r="L9" s="147"/>
      <c r="M9" s="184" t="s">
        <v>310</v>
      </c>
      <c r="O9" s="391">
        <f>O8-29.02</f>
        <v>29.250000000000004</v>
      </c>
    </row>
    <row r="10" spans="1:15" ht="54">
      <c r="A10" s="471">
        <v>3</v>
      </c>
      <c r="B10" s="395" t="s">
        <v>977</v>
      </c>
      <c r="C10" s="142"/>
      <c r="D10" s="142"/>
      <c r="E10" s="142"/>
      <c r="F10" s="161"/>
      <c r="G10" s="161"/>
      <c r="H10" s="161"/>
      <c r="I10" s="161"/>
      <c r="J10" s="161"/>
      <c r="K10" s="147"/>
      <c r="L10" s="147"/>
      <c r="M10" s="151"/>
    </row>
    <row r="11" spans="1:15" ht="20.100000000000001" customHeight="1">
      <c r="A11" s="472" t="s">
        <v>208</v>
      </c>
      <c r="B11" s="395" t="s">
        <v>188</v>
      </c>
      <c r="C11" s="142">
        <v>52</v>
      </c>
      <c r="D11" s="142" t="s">
        <v>16</v>
      </c>
      <c r="E11" s="142">
        <v>8785.93</v>
      </c>
      <c r="F11" s="143">
        <f>ROUND((E11*C11),2)</f>
        <v>456868.36</v>
      </c>
      <c r="G11" s="161"/>
      <c r="H11" s="143">
        <v>52</v>
      </c>
      <c r="I11" s="143">
        <f>8785.93</f>
        <v>8785.93</v>
      </c>
      <c r="J11" s="143">
        <f t="shared" ref="J11:J17" si="0">ROUND((I11*H11),2)</f>
        <v>456868.36</v>
      </c>
      <c r="K11" s="147"/>
      <c r="L11" s="147"/>
      <c r="M11" s="151"/>
    </row>
    <row r="12" spans="1:15" ht="31.5" customHeight="1">
      <c r="A12" s="472"/>
      <c r="B12" s="396" t="s">
        <v>309</v>
      </c>
      <c r="C12" s="142"/>
      <c r="D12" s="142"/>
      <c r="E12" s="142"/>
      <c r="F12" s="161"/>
      <c r="G12" s="161"/>
      <c r="H12" s="143">
        <v>40.090000000000003</v>
      </c>
      <c r="I12" s="143">
        <f>8785.93</f>
        <v>8785.93</v>
      </c>
      <c r="J12" s="143">
        <f t="shared" si="0"/>
        <v>352227.93</v>
      </c>
      <c r="K12" s="143">
        <f>J12</f>
        <v>352227.93</v>
      </c>
      <c r="L12" s="147"/>
      <c r="M12" s="184" t="s">
        <v>310</v>
      </c>
    </row>
    <row r="13" spans="1:15" ht="20.100000000000001" customHeight="1">
      <c r="A13" s="472" t="s">
        <v>209</v>
      </c>
      <c r="B13" s="395" t="s">
        <v>189</v>
      </c>
      <c r="C13" s="142">
        <v>6</v>
      </c>
      <c r="D13" s="142" t="s">
        <v>16</v>
      </c>
      <c r="E13" s="142">
        <v>11049.14</v>
      </c>
      <c r="F13" s="143">
        <f>ROUND((E13*C13),2)</f>
        <v>66294.84</v>
      </c>
      <c r="G13" s="161"/>
      <c r="H13" s="143">
        <v>6</v>
      </c>
      <c r="I13" s="143">
        <v>11049.14</v>
      </c>
      <c r="J13" s="143">
        <f t="shared" si="0"/>
        <v>66294.84</v>
      </c>
      <c r="K13" s="147"/>
      <c r="L13" s="147"/>
      <c r="M13" s="151"/>
    </row>
    <row r="14" spans="1:15" ht="20.100000000000001" customHeight="1">
      <c r="A14" s="472" t="s">
        <v>210</v>
      </c>
      <c r="B14" s="395" t="s">
        <v>190</v>
      </c>
      <c r="C14" s="142">
        <v>3.1</v>
      </c>
      <c r="D14" s="142" t="s">
        <v>16</v>
      </c>
      <c r="E14" s="142">
        <v>8785.93</v>
      </c>
      <c r="F14" s="143">
        <f>ROUND((E14*C14),2)</f>
        <v>27236.38</v>
      </c>
      <c r="G14" s="161"/>
      <c r="H14" s="143">
        <v>3.1</v>
      </c>
      <c r="I14" s="143">
        <v>8785.93</v>
      </c>
      <c r="J14" s="143">
        <f t="shared" si="0"/>
        <v>27236.38</v>
      </c>
      <c r="K14" s="147"/>
      <c r="L14" s="147"/>
      <c r="M14" s="151"/>
    </row>
    <row r="15" spans="1:15" ht="31.5" customHeight="1">
      <c r="A15" s="472"/>
      <c r="B15" s="396" t="s">
        <v>309</v>
      </c>
      <c r="C15" s="142"/>
      <c r="D15" s="142"/>
      <c r="E15" s="142"/>
      <c r="F15" s="143"/>
      <c r="G15" s="161"/>
      <c r="H15" s="143">
        <v>2.08</v>
      </c>
      <c r="I15" s="143">
        <v>8785.93</v>
      </c>
      <c r="J15" s="143">
        <f t="shared" si="0"/>
        <v>18274.73</v>
      </c>
      <c r="K15" s="143">
        <f>J15</f>
        <v>18274.73</v>
      </c>
      <c r="L15" s="147"/>
      <c r="M15" s="184" t="s">
        <v>310</v>
      </c>
    </row>
    <row r="16" spans="1:15" ht="20.100000000000001" customHeight="1">
      <c r="A16" s="472" t="s">
        <v>211</v>
      </c>
      <c r="B16" s="395" t="s">
        <v>191</v>
      </c>
      <c r="C16" s="142">
        <v>4.3</v>
      </c>
      <c r="D16" s="142" t="s">
        <v>16</v>
      </c>
      <c r="E16" s="142">
        <v>9255.16</v>
      </c>
      <c r="F16" s="143">
        <f>ROUND((E16*C16),2)</f>
        <v>39797.19</v>
      </c>
      <c r="G16" s="161"/>
      <c r="H16" s="143">
        <v>2</v>
      </c>
      <c r="I16" s="143">
        <v>9255.16</v>
      </c>
      <c r="J16" s="143">
        <f t="shared" si="0"/>
        <v>18510.32</v>
      </c>
      <c r="K16" s="147"/>
      <c r="L16" s="143">
        <f>(C16-H16)*E16</f>
        <v>21286.867999999999</v>
      </c>
      <c r="M16" s="151"/>
    </row>
    <row r="17" spans="1:13" ht="20.100000000000001" customHeight="1">
      <c r="A17" s="472" t="s">
        <v>212</v>
      </c>
      <c r="B17" s="395" t="s">
        <v>192</v>
      </c>
      <c r="C17" s="142">
        <v>10.6</v>
      </c>
      <c r="D17" s="142" t="s">
        <v>16</v>
      </c>
      <c r="E17" s="142">
        <v>11049.14</v>
      </c>
      <c r="F17" s="143">
        <f>ROUND((E17*C17),2)</f>
        <v>117120.88</v>
      </c>
      <c r="G17" s="161"/>
      <c r="H17" s="143">
        <v>0</v>
      </c>
      <c r="I17" s="143">
        <v>11049.14</v>
      </c>
      <c r="J17" s="143">
        <f t="shared" si="0"/>
        <v>0</v>
      </c>
      <c r="K17" s="147"/>
      <c r="L17" s="143">
        <f>(C17-H17)*E17</f>
        <v>117120.88399999999</v>
      </c>
      <c r="M17" s="151"/>
    </row>
    <row r="18" spans="1:13" ht="54">
      <c r="A18" s="471">
        <v>4</v>
      </c>
      <c r="B18" s="395" t="s">
        <v>978</v>
      </c>
      <c r="C18" s="142"/>
      <c r="D18" s="142"/>
      <c r="E18" s="142"/>
      <c r="F18" s="161"/>
      <c r="G18" s="161"/>
      <c r="H18" s="161"/>
      <c r="I18" s="161"/>
      <c r="J18" s="161"/>
      <c r="K18" s="147"/>
      <c r="L18" s="147"/>
      <c r="M18" s="151"/>
    </row>
    <row r="19" spans="1:13" ht="54">
      <c r="A19" s="472" t="s">
        <v>14</v>
      </c>
      <c r="B19" s="397" t="s">
        <v>226</v>
      </c>
      <c r="C19" s="142"/>
      <c r="D19" s="142"/>
      <c r="E19" s="142"/>
      <c r="F19" s="161"/>
      <c r="G19" s="161"/>
      <c r="H19" s="161"/>
      <c r="I19" s="161"/>
      <c r="J19" s="161"/>
      <c r="K19" s="147"/>
      <c r="L19" s="147"/>
      <c r="M19" s="151"/>
    </row>
    <row r="20" spans="1:13" ht="34.5">
      <c r="A20" s="472" t="s">
        <v>208</v>
      </c>
      <c r="B20" s="395" t="s">
        <v>341</v>
      </c>
      <c r="C20" s="142">
        <v>11</v>
      </c>
      <c r="D20" s="142" t="s">
        <v>16</v>
      </c>
      <c r="E20" s="142">
        <v>8191.7</v>
      </c>
      <c r="F20" s="143">
        <f>ROUND((E20*C20),2)</f>
        <v>90108.7</v>
      </c>
      <c r="G20" s="161"/>
      <c r="H20" s="143">
        <v>6.46</v>
      </c>
      <c r="I20" s="143">
        <v>8191.7</v>
      </c>
      <c r="J20" s="143">
        <f>ROUND((I20*H20),2)</f>
        <v>52918.38</v>
      </c>
      <c r="K20" s="147"/>
      <c r="L20" s="143">
        <f>(C20-H20)*I20</f>
        <v>37190.317999999999</v>
      </c>
      <c r="M20" s="151"/>
    </row>
    <row r="21" spans="1:13" ht="34.5">
      <c r="A21" s="472" t="s">
        <v>209</v>
      </c>
      <c r="B21" s="395" t="s">
        <v>342</v>
      </c>
      <c r="C21" s="142">
        <v>10</v>
      </c>
      <c r="D21" s="142" t="s">
        <v>16</v>
      </c>
      <c r="E21" s="142">
        <v>8375.76</v>
      </c>
      <c r="F21" s="143">
        <f>ROUND((E21*C21),2)</f>
        <v>83757.600000000006</v>
      </c>
      <c r="G21" s="161"/>
      <c r="H21" s="143">
        <v>10</v>
      </c>
      <c r="I21" s="143">
        <v>8375.76</v>
      </c>
      <c r="J21" s="143">
        <f t="shared" ref="J21:J30" si="1">ROUND((I21*H21),2)</f>
        <v>83757.600000000006</v>
      </c>
      <c r="K21" s="147"/>
      <c r="L21" s="147"/>
      <c r="M21" s="151"/>
    </row>
    <row r="22" spans="1:13" ht="33">
      <c r="A22" s="472"/>
      <c r="B22" s="396" t="s">
        <v>309</v>
      </c>
      <c r="C22" s="142"/>
      <c r="D22" s="142"/>
      <c r="E22" s="142"/>
      <c r="F22" s="161"/>
      <c r="G22" s="161"/>
      <c r="H22" s="143">
        <v>8.01</v>
      </c>
      <c r="I22" s="143">
        <v>8375.76</v>
      </c>
      <c r="J22" s="143">
        <f t="shared" si="1"/>
        <v>67089.84</v>
      </c>
      <c r="K22" s="143">
        <f>J22</f>
        <v>67089.84</v>
      </c>
      <c r="L22" s="147"/>
      <c r="M22" s="184" t="s">
        <v>310</v>
      </c>
    </row>
    <row r="23" spans="1:13" ht="34.5">
      <c r="A23" s="472" t="s">
        <v>210</v>
      </c>
      <c r="B23" s="395" t="s">
        <v>343</v>
      </c>
      <c r="C23" s="142">
        <v>10</v>
      </c>
      <c r="D23" s="142" t="s">
        <v>16</v>
      </c>
      <c r="E23" s="142">
        <v>8559.81</v>
      </c>
      <c r="F23" s="143">
        <f>ROUND((E23*C23),2)</f>
        <v>85598.1</v>
      </c>
      <c r="G23" s="161"/>
      <c r="H23" s="143">
        <v>10</v>
      </c>
      <c r="I23" s="143">
        <v>8559.81</v>
      </c>
      <c r="J23" s="143">
        <f t="shared" si="1"/>
        <v>85598.1</v>
      </c>
      <c r="K23" s="147"/>
      <c r="L23" s="147"/>
      <c r="M23" s="151"/>
    </row>
    <row r="24" spans="1:13" ht="33">
      <c r="A24" s="472"/>
      <c r="B24" s="396" t="s">
        <v>309</v>
      </c>
      <c r="C24" s="142"/>
      <c r="D24" s="142"/>
      <c r="E24" s="142"/>
      <c r="F24" s="161"/>
      <c r="G24" s="161"/>
      <c r="H24" s="143">
        <v>6.54</v>
      </c>
      <c r="I24" s="143">
        <v>8559.81</v>
      </c>
      <c r="J24" s="143">
        <f t="shared" si="1"/>
        <v>55981.16</v>
      </c>
      <c r="K24" s="143">
        <f>J24</f>
        <v>55981.16</v>
      </c>
      <c r="L24" s="147"/>
      <c r="M24" s="184" t="s">
        <v>310</v>
      </c>
    </row>
    <row r="25" spans="1:13" ht="34.5">
      <c r="A25" s="472" t="s">
        <v>211</v>
      </c>
      <c r="B25" s="395" t="s">
        <v>344</v>
      </c>
      <c r="C25" s="142">
        <v>10</v>
      </c>
      <c r="D25" s="142" t="s">
        <v>16</v>
      </c>
      <c r="E25" s="142">
        <v>8743.8700000000008</v>
      </c>
      <c r="F25" s="143">
        <f>ROUND((E25*C25),2)</f>
        <v>87438.7</v>
      </c>
      <c r="G25" s="161"/>
      <c r="H25" s="143">
        <v>10</v>
      </c>
      <c r="I25" s="143">
        <v>8743.8700000000008</v>
      </c>
      <c r="J25" s="143">
        <f t="shared" si="1"/>
        <v>87438.7</v>
      </c>
      <c r="K25" s="147"/>
      <c r="L25" s="147"/>
      <c r="M25" s="151"/>
    </row>
    <row r="26" spans="1:13" ht="33">
      <c r="A26" s="472"/>
      <c r="B26" s="396" t="s">
        <v>309</v>
      </c>
      <c r="C26" s="142"/>
      <c r="D26" s="142"/>
      <c r="E26" s="142"/>
      <c r="F26" s="161"/>
      <c r="G26" s="161"/>
      <c r="H26" s="143">
        <v>6.54</v>
      </c>
      <c r="I26" s="143">
        <v>8743.8700000000008</v>
      </c>
      <c r="J26" s="143">
        <f t="shared" si="1"/>
        <v>57184.91</v>
      </c>
      <c r="K26" s="143">
        <f>J26</f>
        <v>57184.91</v>
      </c>
      <c r="L26" s="147"/>
      <c r="M26" s="184" t="s">
        <v>310</v>
      </c>
    </row>
    <row r="27" spans="1:13" ht="34.5">
      <c r="A27" s="472" t="s">
        <v>212</v>
      </c>
      <c r="B27" s="395" t="s">
        <v>345</v>
      </c>
      <c r="C27" s="142">
        <v>12.1</v>
      </c>
      <c r="D27" s="142" t="s">
        <v>16</v>
      </c>
      <c r="E27" s="142">
        <v>8927.93</v>
      </c>
      <c r="F27" s="143">
        <f>ROUND((E27*C27),2)</f>
        <v>108027.95</v>
      </c>
      <c r="G27" s="161"/>
      <c r="H27" s="143">
        <v>12.1</v>
      </c>
      <c r="I27" s="143">
        <v>8927.93</v>
      </c>
      <c r="J27" s="143">
        <f t="shared" si="1"/>
        <v>108027.95</v>
      </c>
      <c r="K27" s="147"/>
      <c r="L27" s="147"/>
      <c r="M27" s="151"/>
    </row>
    <row r="28" spans="1:13" ht="33">
      <c r="A28" s="472"/>
      <c r="B28" s="396" t="s">
        <v>309</v>
      </c>
      <c r="C28" s="142"/>
      <c r="D28" s="142"/>
      <c r="E28" s="142"/>
      <c r="F28" s="143"/>
      <c r="G28" s="161"/>
      <c r="H28" s="143">
        <v>4.17</v>
      </c>
      <c r="I28" s="143">
        <v>8927.93</v>
      </c>
      <c r="J28" s="143">
        <f t="shared" si="1"/>
        <v>37229.47</v>
      </c>
      <c r="K28" s="143">
        <f>J28</f>
        <v>37229.47</v>
      </c>
      <c r="L28" s="147"/>
      <c r="M28" s="184" t="s">
        <v>310</v>
      </c>
    </row>
    <row r="29" spans="1:13" ht="34.5">
      <c r="A29" s="472" t="s">
        <v>213</v>
      </c>
      <c r="B29" s="395" t="s">
        <v>346</v>
      </c>
      <c r="C29" s="142">
        <v>0.2</v>
      </c>
      <c r="D29" s="142" t="s">
        <v>16</v>
      </c>
      <c r="E29" s="142">
        <v>9111.98</v>
      </c>
      <c r="F29" s="143">
        <f>ROUND((E29*C29),2)</f>
        <v>1822.4</v>
      </c>
      <c r="G29" s="161"/>
      <c r="H29" s="143">
        <v>0.2</v>
      </c>
      <c r="I29" s="143">
        <v>9111.98</v>
      </c>
      <c r="J29" s="143">
        <f t="shared" si="1"/>
        <v>1822.4</v>
      </c>
      <c r="K29" s="147"/>
      <c r="L29" s="147"/>
      <c r="M29" s="151"/>
    </row>
    <row r="30" spans="1:13" ht="33">
      <c r="A30" s="472"/>
      <c r="B30" s="396" t="s">
        <v>309</v>
      </c>
      <c r="C30" s="142"/>
      <c r="D30" s="142"/>
      <c r="E30" s="142"/>
      <c r="F30" s="161"/>
      <c r="G30" s="161"/>
      <c r="H30" s="143">
        <v>2.5</v>
      </c>
      <c r="I30" s="143">
        <v>9111.98</v>
      </c>
      <c r="J30" s="143">
        <f t="shared" si="1"/>
        <v>22779.95</v>
      </c>
      <c r="K30" s="143">
        <f>J30</f>
        <v>22779.95</v>
      </c>
      <c r="L30" s="147"/>
      <c r="M30" s="184" t="s">
        <v>310</v>
      </c>
    </row>
    <row r="31" spans="1:13" ht="17.25">
      <c r="A31" s="472" t="s">
        <v>4</v>
      </c>
      <c r="B31" s="397" t="s">
        <v>193</v>
      </c>
      <c r="C31" s="142"/>
      <c r="D31" s="142"/>
      <c r="E31" s="142"/>
      <c r="F31" s="161"/>
      <c r="G31" s="161"/>
      <c r="H31" s="161"/>
      <c r="I31" s="161"/>
      <c r="J31" s="161"/>
      <c r="K31" s="147"/>
      <c r="L31" s="147"/>
      <c r="M31" s="151"/>
    </row>
    <row r="32" spans="1:13" ht="34.5">
      <c r="A32" s="472" t="s">
        <v>208</v>
      </c>
      <c r="B32" s="395" t="s">
        <v>194</v>
      </c>
      <c r="C32" s="142">
        <v>9.5</v>
      </c>
      <c r="D32" s="142" t="s">
        <v>16</v>
      </c>
      <c r="E32" s="142">
        <v>9263.09</v>
      </c>
      <c r="F32" s="143">
        <f>ROUND((E32*C32),2)</f>
        <v>87999.360000000001</v>
      </c>
      <c r="G32" s="161"/>
      <c r="H32" s="143">
        <v>0</v>
      </c>
      <c r="I32" s="143">
        <v>9263.09</v>
      </c>
      <c r="J32" s="143">
        <f t="shared" ref="J32:J50" si="2">ROUND((I32*H32),2)</f>
        <v>0</v>
      </c>
      <c r="K32" s="147"/>
      <c r="L32" s="143">
        <f>F32</f>
        <v>87999.360000000001</v>
      </c>
      <c r="M32" s="151"/>
    </row>
    <row r="33" spans="1:13" ht="34.5">
      <c r="A33" s="472" t="s">
        <v>209</v>
      </c>
      <c r="B33" s="395" t="s">
        <v>347</v>
      </c>
      <c r="C33" s="142">
        <v>9.5</v>
      </c>
      <c r="D33" s="142" t="s">
        <v>16</v>
      </c>
      <c r="E33" s="142">
        <v>5955.76</v>
      </c>
      <c r="F33" s="143">
        <f>ROUND((E33*C33),2)</f>
        <v>56579.72</v>
      </c>
      <c r="G33" s="161"/>
      <c r="H33" s="143">
        <v>9.5</v>
      </c>
      <c r="I33" s="143">
        <v>5955.76</v>
      </c>
      <c r="J33" s="143">
        <f t="shared" si="2"/>
        <v>56579.72</v>
      </c>
      <c r="K33" s="147"/>
      <c r="L33" s="147"/>
      <c r="M33" s="151"/>
    </row>
    <row r="34" spans="1:13" ht="33">
      <c r="A34" s="472"/>
      <c r="B34" s="396" t="s">
        <v>309</v>
      </c>
      <c r="C34" s="142"/>
      <c r="D34" s="142"/>
      <c r="E34" s="142"/>
      <c r="F34" s="161"/>
      <c r="G34" s="161"/>
      <c r="H34" s="143">
        <f>21.1</f>
        <v>21.1</v>
      </c>
      <c r="I34" s="143">
        <v>5955.76</v>
      </c>
      <c r="J34" s="143">
        <f t="shared" si="2"/>
        <v>125666.54</v>
      </c>
      <c r="K34" s="143">
        <f>J34</f>
        <v>125666.54</v>
      </c>
      <c r="L34" s="147"/>
      <c r="M34" s="184" t="s">
        <v>310</v>
      </c>
    </row>
    <row r="35" spans="1:13" ht="34.5">
      <c r="A35" s="472" t="s">
        <v>210</v>
      </c>
      <c r="B35" s="395" t="s">
        <v>348</v>
      </c>
      <c r="C35" s="142">
        <v>9.5</v>
      </c>
      <c r="D35" s="142" t="s">
        <v>16</v>
      </c>
      <c r="E35" s="142">
        <v>6139.81</v>
      </c>
      <c r="F35" s="143">
        <f>ROUND((E35*C35),2)</f>
        <v>58328.2</v>
      </c>
      <c r="G35" s="161"/>
      <c r="H35" s="143">
        <v>9.5</v>
      </c>
      <c r="I35" s="143">
        <v>6139.81</v>
      </c>
      <c r="J35" s="143">
        <f t="shared" si="2"/>
        <v>58328.2</v>
      </c>
      <c r="K35" s="147"/>
      <c r="L35" s="147"/>
      <c r="M35" s="151"/>
    </row>
    <row r="36" spans="1:13" ht="33">
      <c r="A36" s="472"/>
      <c r="B36" s="396" t="s">
        <v>309</v>
      </c>
      <c r="C36" s="142"/>
      <c r="D36" s="142"/>
      <c r="E36" s="142"/>
      <c r="F36" s="161"/>
      <c r="G36" s="161"/>
      <c r="H36" s="143">
        <f>5.8</f>
        <v>5.8</v>
      </c>
      <c r="I36" s="143">
        <v>6139.81</v>
      </c>
      <c r="J36" s="143">
        <f t="shared" si="2"/>
        <v>35610.9</v>
      </c>
      <c r="K36" s="143">
        <f>J36</f>
        <v>35610.9</v>
      </c>
      <c r="L36" s="147"/>
      <c r="M36" s="184" t="s">
        <v>310</v>
      </c>
    </row>
    <row r="37" spans="1:13" ht="34.5">
      <c r="A37" s="472" t="s">
        <v>211</v>
      </c>
      <c r="B37" s="395" t="s">
        <v>349</v>
      </c>
      <c r="C37" s="142">
        <v>9.5</v>
      </c>
      <c r="D37" s="142" t="s">
        <v>16</v>
      </c>
      <c r="E37" s="142">
        <v>6323.87</v>
      </c>
      <c r="F37" s="143">
        <f>ROUND((E37*C37),2)</f>
        <v>60076.77</v>
      </c>
      <c r="G37" s="161"/>
      <c r="H37" s="143">
        <v>9.5</v>
      </c>
      <c r="I37" s="143">
        <v>6323.87</v>
      </c>
      <c r="J37" s="143">
        <f t="shared" si="2"/>
        <v>60076.77</v>
      </c>
      <c r="K37" s="147"/>
      <c r="L37" s="147"/>
      <c r="M37" s="151"/>
    </row>
    <row r="38" spans="1:13" ht="33">
      <c r="A38" s="472"/>
      <c r="B38" s="396" t="s">
        <v>309</v>
      </c>
      <c r="C38" s="142"/>
      <c r="D38" s="142"/>
      <c r="E38" s="142"/>
      <c r="F38" s="161"/>
      <c r="G38" s="161"/>
      <c r="H38" s="143">
        <f>5.8</f>
        <v>5.8</v>
      </c>
      <c r="I38" s="143">
        <v>6323.87</v>
      </c>
      <c r="J38" s="143">
        <f t="shared" si="2"/>
        <v>36678.449999999997</v>
      </c>
      <c r="K38" s="143">
        <f>J38</f>
        <v>36678.449999999997</v>
      </c>
      <c r="L38" s="147"/>
      <c r="M38" s="184" t="s">
        <v>310</v>
      </c>
    </row>
    <row r="39" spans="1:13" ht="34.5">
      <c r="A39" s="472" t="s">
        <v>212</v>
      </c>
      <c r="B39" s="395" t="s">
        <v>350</v>
      </c>
      <c r="C39" s="142">
        <v>9.5</v>
      </c>
      <c r="D39" s="142" t="s">
        <v>16</v>
      </c>
      <c r="E39" s="142">
        <v>6507.92</v>
      </c>
      <c r="F39" s="143">
        <f t="shared" ref="F39:F46" si="3">ROUND((E39*C39),2)</f>
        <v>61825.24</v>
      </c>
      <c r="G39" s="161"/>
      <c r="H39" s="143">
        <v>0</v>
      </c>
      <c r="I39" s="143">
        <v>6507.92</v>
      </c>
      <c r="J39" s="143">
        <f t="shared" si="2"/>
        <v>0</v>
      </c>
      <c r="K39" s="147"/>
      <c r="L39" s="143">
        <f>F39</f>
        <v>61825.24</v>
      </c>
      <c r="M39" s="151"/>
    </row>
    <row r="40" spans="1:13" ht="34.5">
      <c r="A40" s="472" t="s">
        <v>213</v>
      </c>
      <c r="B40" s="395" t="s">
        <v>383</v>
      </c>
      <c r="C40" s="142">
        <v>9.5</v>
      </c>
      <c r="D40" s="142" t="s">
        <v>16</v>
      </c>
      <c r="E40" s="142">
        <v>6691.98</v>
      </c>
      <c r="F40" s="143">
        <f t="shared" si="3"/>
        <v>63573.81</v>
      </c>
      <c r="G40" s="161"/>
      <c r="H40" s="143">
        <v>0</v>
      </c>
      <c r="I40" s="143">
        <v>6691.98</v>
      </c>
      <c r="J40" s="143">
        <f t="shared" si="2"/>
        <v>0</v>
      </c>
      <c r="K40" s="147"/>
      <c r="L40" s="143">
        <f>(C40-H40)*E40</f>
        <v>63573.81</v>
      </c>
      <c r="M40" s="151"/>
    </row>
    <row r="41" spans="1:13" ht="34.5">
      <c r="A41" s="473" t="s">
        <v>214</v>
      </c>
      <c r="B41" s="395" t="s">
        <v>195</v>
      </c>
      <c r="C41" s="142">
        <v>14</v>
      </c>
      <c r="D41" s="142" t="s">
        <v>16</v>
      </c>
      <c r="E41" s="142">
        <v>6691.98</v>
      </c>
      <c r="F41" s="143">
        <f t="shared" si="3"/>
        <v>93687.72</v>
      </c>
      <c r="G41" s="161"/>
      <c r="H41" s="143">
        <v>0</v>
      </c>
      <c r="I41" s="143">
        <v>6691.98</v>
      </c>
      <c r="J41" s="143">
        <f t="shared" si="2"/>
        <v>0</v>
      </c>
      <c r="K41" s="147"/>
      <c r="L41" s="143">
        <f>F41</f>
        <v>93687.72</v>
      </c>
      <c r="M41" s="151"/>
    </row>
    <row r="42" spans="1:13" ht="34.5">
      <c r="A42" s="472" t="s">
        <v>215</v>
      </c>
      <c r="B42" s="395" t="s">
        <v>227</v>
      </c>
      <c r="C42" s="142">
        <v>8.1999999999999993</v>
      </c>
      <c r="D42" s="142" t="s">
        <v>16</v>
      </c>
      <c r="E42" s="142">
        <v>6691.98</v>
      </c>
      <c r="F42" s="143">
        <f t="shared" si="3"/>
        <v>54874.239999999998</v>
      </c>
      <c r="G42" s="161"/>
      <c r="H42" s="143">
        <v>8.1999999999999993</v>
      </c>
      <c r="I42" s="143">
        <v>6691.98</v>
      </c>
      <c r="J42" s="143">
        <f t="shared" si="2"/>
        <v>54874.239999999998</v>
      </c>
      <c r="K42" s="147"/>
      <c r="L42" s="165"/>
      <c r="M42" s="151"/>
    </row>
    <row r="43" spans="1:13" ht="33">
      <c r="A43" s="472"/>
      <c r="B43" s="396" t="s">
        <v>309</v>
      </c>
      <c r="C43" s="142"/>
      <c r="D43" s="142"/>
      <c r="E43" s="142"/>
      <c r="F43" s="143"/>
      <c r="G43" s="161"/>
      <c r="H43" s="143">
        <v>23.83</v>
      </c>
      <c r="I43" s="143">
        <v>6691.98</v>
      </c>
      <c r="J43" s="143">
        <f t="shared" si="2"/>
        <v>159469.88</v>
      </c>
      <c r="K43" s="143">
        <f>J43</f>
        <v>159469.88</v>
      </c>
      <c r="L43" s="165"/>
      <c r="M43" s="184" t="s">
        <v>310</v>
      </c>
    </row>
    <row r="44" spans="1:13" ht="34.5">
      <c r="A44" s="472" t="s">
        <v>5</v>
      </c>
      <c r="B44" s="395" t="s">
        <v>196</v>
      </c>
      <c r="C44" s="142">
        <v>39</v>
      </c>
      <c r="D44" s="142" t="s">
        <v>16</v>
      </c>
      <c r="E44" s="142">
        <v>6691.98</v>
      </c>
      <c r="F44" s="143">
        <f t="shared" si="3"/>
        <v>260987.22</v>
      </c>
      <c r="G44" s="161"/>
      <c r="H44" s="143">
        <v>38.54</v>
      </c>
      <c r="I44" s="143">
        <v>6691.98</v>
      </c>
      <c r="J44" s="143">
        <f t="shared" si="2"/>
        <v>257908.91</v>
      </c>
      <c r="K44" s="147"/>
      <c r="L44" s="143">
        <f>(C44-H44)*E44</f>
        <v>3078.3108000000057</v>
      </c>
      <c r="M44" s="151"/>
    </row>
    <row r="45" spans="1:13" ht="34.5">
      <c r="A45" s="472" t="s">
        <v>216</v>
      </c>
      <c r="B45" s="395" t="s">
        <v>197</v>
      </c>
      <c r="C45" s="142">
        <v>2.9</v>
      </c>
      <c r="D45" s="142" t="s">
        <v>16</v>
      </c>
      <c r="E45" s="142">
        <v>9111.98</v>
      </c>
      <c r="F45" s="143">
        <f t="shared" si="3"/>
        <v>26424.74</v>
      </c>
      <c r="G45" s="161"/>
      <c r="H45" s="143">
        <v>2.23</v>
      </c>
      <c r="I45" s="143">
        <v>9111.98</v>
      </c>
      <c r="J45" s="143">
        <f t="shared" si="2"/>
        <v>20319.72</v>
      </c>
      <c r="K45" s="147"/>
      <c r="L45" s="143">
        <f>(C45-H45)*E45</f>
        <v>6105.0265999999992</v>
      </c>
      <c r="M45" s="151"/>
    </row>
    <row r="46" spans="1:13" ht="34.5">
      <c r="A46" s="472" t="s">
        <v>217</v>
      </c>
      <c r="B46" s="395" t="s">
        <v>351</v>
      </c>
      <c r="C46" s="142">
        <v>25.5</v>
      </c>
      <c r="D46" s="142" t="s">
        <v>16</v>
      </c>
      <c r="E46" s="142">
        <v>9296.0400000000009</v>
      </c>
      <c r="F46" s="143">
        <f t="shared" si="3"/>
        <v>237049.02</v>
      </c>
      <c r="G46" s="161"/>
      <c r="H46" s="143">
        <v>25.5</v>
      </c>
      <c r="I46" s="143">
        <v>9296.0400000000009</v>
      </c>
      <c r="J46" s="143">
        <f t="shared" si="2"/>
        <v>237049.02</v>
      </c>
      <c r="K46" s="147"/>
      <c r="L46" s="147"/>
      <c r="M46" s="151"/>
    </row>
    <row r="47" spans="1:13" ht="33">
      <c r="A47" s="472"/>
      <c r="B47" s="396" t="s">
        <v>309</v>
      </c>
      <c r="C47" s="142"/>
      <c r="D47" s="142"/>
      <c r="E47" s="142"/>
      <c r="F47" s="161"/>
      <c r="G47" s="161"/>
      <c r="H47" s="143">
        <v>25.41</v>
      </c>
      <c r="I47" s="143">
        <v>9296.0400000000009</v>
      </c>
      <c r="J47" s="143">
        <f>ROUND((I47*H47),2)</f>
        <v>236212.38</v>
      </c>
      <c r="K47" s="143">
        <f>J47</f>
        <v>236212.38</v>
      </c>
      <c r="L47" s="147"/>
      <c r="M47" s="184" t="s">
        <v>310</v>
      </c>
    </row>
    <row r="48" spans="1:13" ht="34.5">
      <c r="A48" s="474" t="s">
        <v>218</v>
      </c>
      <c r="B48" s="395" t="s">
        <v>311</v>
      </c>
      <c r="C48" s="142">
        <v>7</v>
      </c>
      <c r="D48" s="142" t="s">
        <v>16</v>
      </c>
      <c r="E48" s="142">
        <v>6876.04</v>
      </c>
      <c r="F48" s="143">
        <f>ROUND((E48*C48),2)</f>
        <v>48132.28</v>
      </c>
      <c r="G48" s="161"/>
      <c r="H48" s="143">
        <v>0</v>
      </c>
      <c r="I48" s="143">
        <v>6876.04</v>
      </c>
      <c r="J48" s="143">
        <f t="shared" si="2"/>
        <v>0</v>
      </c>
      <c r="K48" s="147"/>
      <c r="L48" s="141">
        <f>(C48-H48)*E48</f>
        <v>48132.28</v>
      </c>
      <c r="M48" s="151"/>
    </row>
    <row r="49" spans="1:13" ht="34.5">
      <c r="A49" s="472" t="s">
        <v>219</v>
      </c>
      <c r="B49" s="395" t="s">
        <v>198</v>
      </c>
      <c r="C49" s="142">
        <v>12</v>
      </c>
      <c r="D49" s="142" t="s">
        <v>16</v>
      </c>
      <c r="E49" s="142">
        <v>6876.04</v>
      </c>
      <c r="F49" s="143">
        <f>ROUND((E49*C49),2)</f>
        <v>82512.479999999996</v>
      </c>
      <c r="G49" s="161"/>
      <c r="H49" s="143">
        <v>3</v>
      </c>
      <c r="I49" s="143">
        <v>6876.04</v>
      </c>
      <c r="J49" s="143">
        <f t="shared" si="2"/>
        <v>20628.12</v>
      </c>
      <c r="K49" s="147"/>
      <c r="L49" s="141">
        <f>(C49-H49)*E49</f>
        <v>61884.36</v>
      </c>
      <c r="M49" s="151"/>
    </row>
    <row r="50" spans="1:13" ht="34.5">
      <c r="A50" s="472" t="s">
        <v>220</v>
      </c>
      <c r="B50" s="395" t="s">
        <v>352</v>
      </c>
      <c r="C50" s="142">
        <v>29</v>
      </c>
      <c r="D50" s="142" t="s">
        <v>16</v>
      </c>
      <c r="E50" s="142">
        <v>6876.04</v>
      </c>
      <c r="F50" s="143">
        <f>ROUND((E50*C50),2)</f>
        <v>199405.16</v>
      </c>
      <c r="G50" s="161"/>
      <c r="H50" s="143">
        <v>25</v>
      </c>
      <c r="I50" s="143">
        <v>6876.04</v>
      </c>
      <c r="J50" s="143">
        <f t="shared" si="2"/>
        <v>171901</v>
      </c>
      <c r="K50" s="147"/>
      <c r="L50" s="141">
        <f>(C50-H50)*E50</f>
        <v>27504.16</v>
      </c>
      <c r="M50" s="151"/>
    </row>
    <row r="51" spans="1:13" ht="67.5">
      <c r="A51" s="472">
        <v>5</v>
      </c>
      <c r="B51" s="395" t="s">
        <v>979</v>
      </c>
      <c r="C51" s="142"/>
      <c r="D51" s="142"/>
      <c r="E51" s="142"/>
      <c r="F51" s="161"/>
      <c r="G51" s="161"/>
      <c r="H51" s="161"/>
      <c r="I51" s="161"/>
      <c r="J51" s="161"/>
      <c r="K51" s="147"/>
      <c r="L51" s="147"/>
      <c r="M51" s="151"/>
    </row>
    <row r="52" spans="1:13" ht="27">
      <c r="A52" s="472" t="s">
        <v>14</v>
      </c>
      <c r="B52" s="397" t="s">
        <v>200</v>
      </c>
      <c r="C52" s="142"/>
      <c r="D52" s="142"/>
      <c r="E52" s="142"/>
      <c r="F52" s="161"/>
      <c r="G52" s="161"/>
      <c r="H52" s="161"/>
      <c r="I52" s="161"/>
      <c r="J52" s="161"/>
      <c r="K52" s="147"/>
      <c r="L52" s="147"/>
      <c r="M52" s="151"/>
    </row>
    <row r="53" spans="1:13" ht="17.25">
      <c r="A53" s="472" t="s">
        <v>220</v>
      </c>
      <c r="B53" s="395" t="s">
        <v>353</v>
      </c>
      <c r="C53" s="142">
        <v>929</v>
      </c>
      <c r="D53" s="142" t="s">
        <v>18</v>
      </c>
      <c r="E53" s="142">
        <v>1513.35</v>
      </c>
      <c r="F53" s="143">
        <f>ROUND((E53*C53),2)</f>
        <v>1405902.15</v>
      </c>
      <c r="G53" s="161"/>
      <c r="H53" s="143">
        <v>929</v>
      </c>
      <c r="I53" s="143">
        <v>1513.35</v>
      </c>
      <c r="J53" s="143">
        <f>ROUND((I53*H53),2)</f>
        <v>1405902.15</v>
      </c>
      <c r="K53" s="147"/>
      <c r="L53" s="147"/>
      <c r="M53" s="151"/>
    </row>
    <row r="54" spans="1:13" ht="33">
      <c r="A54" s="472"/>
      <c r="B54" s="396" t="s">
        <v>309</v>
      </c>
      <c r="C54" s="142"/>
      <c r="D54" s="142"/>
      <c r="E54" s="142"/>
      <c r="F54" s="161"/>
      <c r="G54" s="161"/>
      <c r="H54" s="143">
        <v>132.13999999999999</v>
      </c>
      <c r="I54" s="143">
        <v>1513.35</v>
      </c>
      <c r="J54" s="143">
        <f>ROUND((I54*H54),2)</f>
        <v>199974.07</v>
      </c>
      <c r="K54" s="143">
        <f>J54</f>
        <v>199974.07</v>
      </c>
      <c r="L54" s="147"/>
      <c r="M54" s="184" t="s">
        <v>310</v>
      </c>
    </row>
    <row r="55" spans="1:13" ht="34.5">
      <c r="A55" s="472" t="s">
        <v>221</v>
      </c>
      <c r="B55" s="395" t="s">
        <v>354</v>
      </c>
      <c r="C55" s="142">
        <v>190</v>
      </c>
      <c r="D55" s="142" t="s">
        <v>56</v>
      </c>
      <c r="E55" s="142">
        <v>4491.2</v>
      </c>
      <c r="F55" s="143">
        <f>ROUND((E55*C55),2)</f>
        <v>853328</v>
      </c>
      <c r="G55" s="161"/>
      <c r="H55" s="143">
        <v>183.18</v>
      </c>
      <c r="I55" s="143">
        <v>4491.2</v>
      </c>
      <c r="J55" s="143">
        <f>ROUND((I55*H55),2)</f>
        <v>822698.02</v>
      </c>
      <c r="K55" s="147"/>
      <c r="L55" s="143">
        <f>(C55-H55)*E55</f>
        <v>30629.983999999968</v>
      </c>
      <c r="M55" s="152"/>
    </row>
    <row r="56" spans="1:13" ht="27">
      <c r="A56" s="472" t="s">
        <v>4</v>
      </c>
      <c r="B56" s="397" t="s">
        <v>201</v>
      </c>
      <c r="C56" s="142"/>
      <c r="D56" s="142"/>
      <c r="E56" s="142"/>
      <c r="F56" s="161"/>
      <c r="G56" s="161"/>
      <c r="H56" s="161"/>
      <c r="I56" s="161"/>
      <c r="J56" s="161"/>
      <c r="K56" s="147"/>
      <c r="L56" s="147"/>
      <c r="M56" s="151"/>
    </row>
    <row r="57" spans="1:13" ht="34.5">
      <c r="A57" s="472" t="s">
        <v>208</v>
      </c>
      <c r="B57" s="395" t="s">
        <v>355</v>
      </c>
      <c r="C57" s="142">
        <v>100</v>
      </c>
      <c r="D57" s="142" t="s">
        <v>56</v>
      </c>
      <c r="E57" s="142">
        <v>1649.55</v>
      </c>
      <c r="F57" s="143">
        <f>ROUND((E57*C57),2)</f>
        <v>164955</v>
      </c>
      <c r="G57" s="161"/>
      <c r="H57" s="143">
        <v>100</v>
      </c>
      <c r="I57" s="143">
        <v>1649.55</v>
      </c>
      <c r="J57" s="143">
        <f t="shared" ref="J57:J69" si="4">ROUND((I57*H57),2)</f>
        <v>164955</v>
      </c>
      <c r="K57" s="147"/>
      <c r="L57" s="147"/>
      <c r="M57" s="151"/>
    </row>
    <row r="58" spans="1:13" ht="33">
      <c r="A58" s="472"/>
      <c r="B58" s="396" t="s">
        <v>309</v>
      </c>
      <c r="C58" s="142"/>
      <c r="D58" s="142"/>
      <c r="E58" s="142"/>
      <c r="F58" s="161"/>
      <c r="G58" s="161"/>
      <c r="H58" s="143">
        <v>34.76</v>
      </c>
      <c r="I58" s="143">
        <v>1649.55</v>
      </c>
      <c r="J58" s="143">
        <f t="shared" si="4"/>
        <v>57338.36</v>
      </c>
      <c r="K58" s="143">
        <f>J58</f>
        <v>57338.36</v>
      </c>
      <c r="L58" s="147"/>
      <c r="M58" s="184" t="s">
        <v>310</v>
      </c>
    </row>
    <row r="59" spans="1:13" ht="34.5">
      <c r="A59" s="472" t="s">
        <v>209</v>
      </c>
      <c r="B59" s="395" t="s">
        <v>312</v>
      </c>
      <c r="C59" s="142">
        <v>188</v>
      </c>
      <c r="D59" s="142" t="s">
        <v>56</v>
      </c>
      <c r="E59" s="142">
        <v>4895.41</v>
      </c>
      <c r="F59" s="143">
        <f>ROUND((E59*C59),2)</f>
        <v>920337.08</v>
      </c>
      <c r="G59" s="161"/>
      <c r="H59" s="143">
        <v>188</v>
      </c>
      <c r="I59" s="143">
        <v>4895.41</v>
      </c>
      <c r="J59" s="143">
        <f t="shared" si="4"/>
        <v>920337.08</v>
      </c>
      <c r="K59" s="147"/>
      <c r="L59" s="147"/>
      <c r="M59" s="151"/>
    </row>
    <row r="60" spans="1:13" ht="33">
      <c r="A60" s="472"/>
      <c r="B60" s="396" t="s">
        <v>309</v>
      </c>
      <c r="C60" s="142"/>
      <c r="D60" s="142"/>
      <c r="E60" s="142"/>
      <c r="F60" s="143"/>
      <c r="G60" s="161"/>
      <c r="H60" s="143">
        <v>30</v>
      </c>
      <c r="I60" s="143">
        <v>4895.41</v>
      </c>
      <c r="J60" s="143">
        <f t="shared" si="4"/>
        <v>146862.29999999999</v>
      </c>
      <c r="K60" s="143">
        <f>J60</f>
        <v>146862.29999999999</v>
      </c>
      <c r="L60" s="147"/>
      <c r="M60" s="184" t="s">
        <v>310</v>
      </c>
    </row>
    <row r="61" spans="1:13" ht="34.5">
      <c r="A61" s="472" t="s">
        <v>210</v>
      </c>
      <c r="B61" s="395" t="s">
        <v>980</v>
      </c>
      <c r="C61" s="142">
        <v>170</v>
      </c>
      <c r="D61" s="142" t="s">
        <v>56</v>
      </c>
      <c r="E61" s="142">
        <v>3697.87</v>
      </c>
      <c r="F61" s="143">
        <f>ROUND((E61*C61),2)</f>
        <v>628637.9</v>
      </c>
      <c r="G61" s="161"/>
      <c r="H61" s="143">
        <v>170</v>
      </c>
      <c r="I61" s="143">
        <v>3697.87</v>
      </c>
      <c r="J61" s="143">
        <f t="shared" si="4"/>
        <v>628637.9</v>
      </c>
      <c r="K61" s="147"/>
      <c r="L61" s="147"/>
      <c r="M61" s="151"/>
    </row>
    <row r="62" spans="1:13" ht="33">
      <c r="A62" s="472"/>
      <c r="B62" s="396" t="s">
        <v>309</v>
      </c>
      <c r="C62" s="142"/>
      <c r="D62" s="142"/>
      <c r="E62" s="142"/>
      <c r="F62" s="161"/>
      <c r="G62" s="161"/>
      <c r="H62" s="141">
        <v>37.159999999999997</v>
      </c>
      <c r="I62" s="143">
        <v>3697.87</v>
      </c>
      <c r="J62" s="143">
        <f t="shared" si="4"/>
        <v>137412.85</v>
      </c>
      <c r="K62" s="143">
        <f>J62</f>
        <v>137412.85</v>
      </c>
      <c r="L62" s="147"/>
      <c r="M62" s="184" t="s">
        <v>310</v>
      </c>
    </row>
    <row r="63" spans="1:13" ht="54">
      <c r="A63" s="471">
        <v>6</v>
      </c>
      <c r="B63" s="395" t="s">
        <v>981</v>
      </c>
      <c r="C63" s="142">
        <v>38</v>
      </c>
      <c r="D63" s="142" t="s">
        <v>21</v>
      </c>
      <c r="E63" s="142">
        <v>64516.28</v>
      </c>
      <c r="F63" s="143">
        <f>ROUND((E63*C63),2)</f>
        <v>2451618.64</v>
      </c>
      <c r="G63" s="161"/>
      <c r="H63" s="143">
        <v>38</v>
      </c>
      <c r="I63" s="143">
        <v>64516.28</v>
      </c>
      <c r="J63" s="143">
        <f t="shared" si="4"/>
        <v>2451618.64</v>
      </c>
      <c r="K63" s="147"/>
      <c r="L63" s="147"/>
      <c r="M63" s="151"/>
    </row>
    <row r="64" spans="1:13" ht="33">
      <c r="A64" s="471"/>
      <c r="B64" s="396" t="s">
        <v>309</v>
      </c>
      <c r="C64" s="142"/>
      <c r="D64" s="142"/>
      <c r="E64" s="142"/>
      <c r="F64" s="161"/>
      <c r="G64" s="161"/>
      <c r="H64" s="143">
        <v>29</v>
      </c>
      <c r="I64" s="143">
        <v>64516.28</v>
      </c>
      <c r="J64" s="143">
        <f t="shared" si="4"/>
        <v>1870972.12</v>
      </c>
      <c r="K64" s="143">
        <f>J64</f>
        <v>1870972.12</v>
      </c>
      <c r="L64" s="147"/>
      <c r="M64" s="184" t="s">
        <v>310</v>
      </c>
    </row>
    <row r="65" spans="1:13" ht="40.5">
      <c r="A65" s="471">
        <v>7</v>
      </c>
      <c r="B65" s="395" t="s">
        <v>982</v>
      </c>
      <c r="C65" s="142">
        <v>2</v>
      </c>
      <c r="D65" s="142" t="s">
        <v>222</v>
      </c>
      <c r="E65" s="142">
        <v>4934.21</v>
      </c>
      <c r="F65" s="143">
        <f>ROUND((E65*C65),2)</f>
        <v>9868.42</v>
      </c>
      <c r="G65" s="161"/>
      <c r="H65" s="143">
        <v>2</v>
      </c>
      <c r="I65" s="143">
        <v>4934.21</v>
      </c>
      <c r="J65" s="143">
        <f t="shared" si="4"/>
        <v>9868.42</v>
      </c>
      <c r="K65" s="147"/>
      <c r="L65" s="147"/>
      <c r="M65" s="151"/>
    </row>
    <row r="66" spans="1:13" ht="54">
      <c r="A66" s="471">
        <v>8</v>
      </c>
      <c r="B66" s="395" t="s">
        <v>983</v>
      </c>
      <c r="C66" s="142">
        <v>2</v>
      </c>
      <c r="D66" s="142" t="s">
        <v>222</v>
      </c>
      <c r="E66" s="142">
        <v>2799.47</v>
      </c>
      <c r="F66" s="143">
        <f>ROUND((E66*C66),2)</f>
        <v>5598.94</v>
      </c>
      <c r="G66" s="161"/>
      <c r="H66" s="143">
        <v>2</v>
      </c>
      <c r="I66" s="143">
        <v>2799.47</v>
      </c>
      <c r="J66" s="143">
        <f t="shared" si="4"/>
        <v>5598.94</v>
      </c>
      <c r="K66" s="147"/>
      <c r="L66" s="147"/>
      <c r="M66" s="151"/>
    </row>
    <row r="67" spans="1:13" ht="40.5">
      <c r="A67" s="471">
        <v>9</v>
      </c>
      <c r="B67" s="395" t="s">
        <v>984</v>
      </c>
      <c r="C67" s="142">
        <v>8</v>
      </c>
      <c r="D67" s="142" t="s">
        <v>223</v>
      </c>
      <c r="E67" s="142">
        <v>886.2</v>
      </c>
      <c r="F67" s="143">
        <f>ROUND((E67*C67),2)</f>
        <v>7089.6</v>
      </c>
      <c r="G67" s="161"/>
      <c r="H67" s="143">
        <v>0</v>
      </c>
      <c r="I67" s="143">
        <v>0</v>
      </c>
      <c r="J67" s="143">
        <f t="shared" si="4"/>
        <v>0</v>
      </c>
      <c r="K67" s="147"/>
      <c r="L67" s="143">
        <v>7089.6</v>
      </c>
      <c r="M67" s="151"/>
    </row>
    <row r="68" spans="1:13" ht="40.5">
      <c r="A68" s="471">
        <v>10</v>
      </c>
      <c r="B68" s="395" t="s">
        <v>985</v>
      </c>
      <c r="C68" s="142">
        <v>224</v>
      </c>
      <c r="D68" s="142" t="s">
        <v>16</v>
      </c>
      <c r="E68" s="142">
        <v>251.09</v>
      </c>
      <c r="F68" s="143">
        <f>ROUND((E68*C68),2)</f>
        <v>56244.160000000003</v>
      </c>
      <c r="G68" s="161"/>
      <c r="H68" s="143">
        <v>224</v>
      </c>
      <c r="I68" s="143">
        <v>251.09</v>
      </c>
      <c r="J68" s="143">
        <f t="shared" si="4"/>
        <v>56244.160000000003</v>
      </c>
      <c r="K68" s="147"/>
      <c r="L68" s="147"/>
      <c r="M68" s="151"/>
    </row>
    <row r="69" spans="1:13" ht="17.25">
      <c r="A69" s="471"/>
      <c r="B69" s="396" t="s">
        <v>309</v>
      </c>
      <c r="C69" s="142"/>
      <c r="D69" s="142"/>
      <c r="E69" s="142"/>
      <c r="F69" s="161"/>
      <c r="G69" s="161"/>
      <c r="H69" s="143">
        <f>390+40</f>
        <v>430</v>
      </c>
      <c r="I69" s="143">
        <v>251.09</v>
      </c>
      <c r="J69" s="143">
        <f t="shared" si="4"/>
        <v>107968.7</v>
      </c>
      <c r="K69" s="143">
        <f>J69</f>
        <v>107968.7</v>
      </c>
      <c r="L69" s="147"/>
      <c r="M69" s="184" t="s">
        <v>313</v>
      </c>
    </row>
    <row r="70" spans="1:13" ht="54">
      <c r="A70" s="472">
        <v>11</v>
      </c>
      <c r="B70" s="395" t="s">
        <v>986</v>
      </c>
      <c r="C70" s="142"/>
      <c r="D70" s="142"/>
      <c r="E70" s="142"/>
      <c r="F70" s="161"/>
      <c r="G70" s="161"/>
      <c r="H70" s="161"/>
      <c r="I70" s="161"/>
      <c r="J70" s="161"/>
      <c r="K70" s="147"/>
      <c r="L70" s="147"/>
      <c r="M70" s="151"/>
    </row>
    <row r="71" spans="1:13" ht="17.25">
      <c r="A71" s="472" t="s">
        <v>208</v>
      </c>
      <c r="B71" s="395" t="s">
        <v>204</v>
      </c>
      <c r="C71" s="142">
        <v>1</v>
      </c>
      <c r="D71" s="142" t="s">
        <v>2</v>
      </c>
      <c r="E71" s="142">
        <v>53752.28</v>
      </c>
      <c r="F71" s="143">
        <f>ROUND((E71*C71),2)</f>
        <v>53752.28</v>
      </c>
      <c r="G71" s="161"/>
      <c r="H71" s="143">
        <v>1</v>
      </c>
      <c r="I71" s="143">
        <v>53752.28</v>
      </c>
      <c r="J71" s="143">
        <f>ROUND((I71*H71),2)</f>
        <v>53752.28</v>
      </c>
      <c r="K71" s="147"/>
      <c r="L71" s="147"/>
      <c r="M71" s="151"/>
    </row>
    <row r="72" spans="1:13" ht="17.25">
      <c r="A72" s="472"/>
      <c r="B72" s="396" t="s">
        <v>309</v>
      </c>
      <c r="C72" s="142"/>
      <c r="D72" s="142"/>
      <c r="E72" s="142"/>
      <c r="F72" s="143"/>
      <c r="G72" s="161"/>
      <c r="H72" s="143">
        <v>1</v>
      </c>
      <c r="I72" s="143">
        <v>53752.28</v>
      </c>
      <c r="J72" s="143">
        <f>ROUND((I72*H72),2)</f>
        <v>53752.28</v>
      </c>
      <c r="K72" s="143">
        <f>J72</f>
        <v>53752.28</v>
      </c>
      <c r="L72" s="147"/>
      <c r="M72" s="184" t="s">
        <v>357</v>
      </c>
    </row>
    <row r="73" spans="1:13" ht="17.25">
      <c r="A73" s="472" t="s">
        <v>209</v>
      </c>
      <c r="B73" s="395" t="s">
        <v>205</v>
      </c>
      <c r="C73" s="142">
        <v>1</v>
      </c>
      <c r="D73" s="142" t="s">
        <v>2</v>
      </c>
      <c r="E73" s="142">
        <v>81238.02</v>
      </c>
      <c r="F73" s="143">
        <f>ROUND((E73*C73),2)</f>
        <v>81238.02</v>
      </c>
      <c r="G73" s="161"/>
      <c r="H73" s="143">
        <v>0</v>
      </c>
      <c r="I73" s="143">
        <v>81238.02</v>
      </c>
      <c r="J73" s="143">
        <f>ROUND((I73*H73),2)</f>
        <v>0</v>
      </c>
      <c r="K73" s="147"/>
      <c r="L73" s="143">
        <f>E73</f>
        <v>81238.02</v>
      </c>
      <c r="M73" s="151"/>
    </row>
    <row r="74" spans="1:13" ht="40.5">
      <c r="A74" s="472">
        <v>12</v>
      </c>
      <c r="B74" s="395" t="s">
        <v>987</v>
      </c>
      <c r="C74" s="142"/>
      <c r="D74" s="142"/>
      <c r="E74" s="142"/>
      <c r="F74" s="161"/>
      <c r="G74" s="161"/>
      <c r="H74" s="161"/>
      <c r="I74" s="161"/>
      <c r="J74" s="161"/>
      <c r="K74" s="147"/>
      <c r="L74" s="147"/>
      <c r="M74" s="151"/>
    </row>
    <row r="75" spans="1:13" ht="17.25">
      <c r="A75" s="472" t="s">
        <v>208</v>
      </c>
      <c r="B75" s="395" t="s">
        <v>204</v>
      </c>
      <c r="C75" s="142">
        <v>1</v>
      </c>
      <c r="D75" s="142" t="s">
        <v>2</v>
      </c>
      <c r="E75" s="142">
        <v>546.49</v>
      </c>
      <c r="F75" s="143">
        <f>ROUND((E75*C75),2)</f>
        <v>546.49</v>
      </c>
      <c r="G75" s="161"/>
      <c r="H75" s="143">
        <v>1</v>
      </c>
      <c r="I75" s="143">
        <v>546.49</v>
      </c>
      <c r="J75" s="143">
        <f>ROUND((I75*H75),2)</f>
        <v>546.49</v>
      </c>
      <c r="K75" s="147"/>
      <c r="L75" s="147"/>
      <c r="M75" s="151"/>
    </row>
    <row r="76" spans="1:13" ht="17.25">
      <c r="A76" s="472"/>
      <c r="B76" s="396" t="s">
        <v>309</v>
      </c>
      <c r="C76" s="142"/>
      <c r="D76" s="142"/>
      <c r="E76" s="142"/>
      <c r="F76" s="143"/>
      <c r="G76" s="161"/>
      <c r="H76" s="143">
        <v>1</v>
      </c>
      <c r="I76" s="143">
        <v>546.49</v>
      </c>
      <c r="J76" s="143">
        <f>ROUND((I76*H76),2)</f>
        <v>546.49</v>
      </c>
      <c r="K76" s="143">
        <f>J76</f>
        <v>546.49</v>
      </c>
      <c r="L76" s="147"/>
      <c r="M76" s="184" t="s">
        <v>357</v>
      </c>
    </row>
    <row r="77" spans="1:13" ht="17.25">
      <c r="A77" s="472" t="s">
        <v>209</v>
      </c>
      <c r="B77" s="395" t="s">
        <v>205</v>
      </c>
      <c r="C77" s="142">
        <v>1</v>
      </c>
      <c r="D77" s="142" t="s">
        <v>2</v>
      </c>
      <c r="E77" s="142">
        <v>778.04</v>
      </c>
      <c r="F77" s="143">
        <f>ROUND((E77*C77),2)</f>
        <v>778.04</v>
      </c>
      <c r="G77" s="161"/>
      <c r="H77" s="143">
        <v>0</v>
      </c>
      <c r="I77" s="143">
        <v>778.04</v>
      </c>
      <c r="J77" s="143">
        <f>ROUND((I77*H77),2)</f>
        <v>0</v>
      </c>
      <c r="K77" s="147"/>
      <c r="L77" s="143">
        <f>I77</f>
        <v>778.04</v>
      </c>
      <c r="M77" s="151"/>
    </row>
    <row r="78" spans="1:13" ht="27">
      <c r="A78" s="472">
        <v>13</v>
      </c>
      <c r="B78" s="395" t="s">
        <v>988</v>
      </c>
      <c r="C78" s="142"/>
      <c r="D78" s="142"/>
      <c r="E78" s="142"/>
      <c r="F78" s="161"/>
      <c r="G78" s="161"/>
      <c r="H78" s="161"/>
      <c r="I78" s="161"/>
      <c r="J78" s="161"/>
      <c r="K78" s="147"/>
      <c r="L78" s="147"/>
      <c r="M78" s="151"/>
    </row>
    <row r="79" spans="1:13" ht="17.25">
      <c r="A79" s="472" t="s">
        <v>208</v>
      </c>
      <c r="B79" s="395" t="s">
        <v>314</v>
      </c>
      <c r="C79" s="142">
        <v>1</v>
      </c>
      <c r="D79" s="142" t="s">
        <v>2</v>
      </c>
      <c r="E79" s="142">
        <v>513.77</v>
      </c>
      <c r="F79" s="143">
        <f>ROUND((E79*C79),2)</f>
        <v>513.77</v>
      </c>
      <c r="G79" s="161"/>
      <c r="H79" s="143">
        <v>1</v>
      </c>
      <c r="I79" s="143">
        <v>513.77</v>
      </c>
      <c r="J79" s="143">
        <f>ROUND((I79*H79),2)</f>
        <v>513.77</v>
      </c>
      <c r="K79" s="147"/>
      <c r="L79" s="147"/>
      <c r="M79" s="151"/>
    </row>
    <row r="80" spans="1:13" ht="17.25">
      <c r="A80" s="472"/>
      <c r="B80" s="396" t="s">
        <v>309</v>
      </c>
      <c r="C80" s="142"/>
      <c r="D80" s="142"/>
      <c r="E80" s="142"/>
      <c r="F80" s="143"/>
      <c r="G80" s="161"/>
      <c r="H80" s="143">
        <v>1</v>
      </c>
      <c r="I80" s="143">
        <v>513.77</v>
      </c>
      <c r="J80" s="143">
        <f>ROUND((I80*H80),2)</f>
        <v>513.77</v>
      </c>
      <c r="K80" s="143">
        <f>J80</f>
        <v>513.77</v>
      </c>
      <c r="L80" s="147"/>
      <c r="M80" s="184" t="s">
        <v>357</v>
      </c>
    </row>
    <row r="81" spans="1:13" ht="27">
      <c r="A81" s="472" t="s">
        <v>209</v>
      </c>
      <c r="B81" s="395" t="s">
        <v>230</v>
      </c>
      <c r="C81" s="142">
        <v>1</v>
      </c>
      <c r="D81" s="142" t="s">
        <v>2</v>
      </c>
      <c r="E81" s="142">
        <v>579.58000000000004</v>
      </c>
      <c r="F81" s="143">
        <f>ROUND((E81*C81),2)</f>
        <v>579.58000000000004</v>
      </c>
      <c r="G81" s="161"/>
      <c r="H81" s="143">
        <v>0</v>
      </c>
      <c r="I81" s="143">
        <v>579.58000000000004</v>
      </c>
      <c r="J81" s="143">
        <f>ROUND((I81*H81),2)</f>
        <v>0</v>
      </c>
      <c r="K81" s="147"/>
      <c r="L81" s="141">
        <v>579.58000000000004</v>
      </c>
      <c r="M81" s="151"/>
    </row>
    <row r="82" spans="1:13" ht="54">
      <c r="A82" s="472">
        <v>14</v>
      </c>
      <c r="B82" s="395" t="s">
        <v>989</v>
      </c>
      <c r="C82" s="142"/>
      <c r="D82" s="142"/>
      <c r="E82" s="142"/>
      <c r="F82" s="161"/>
      <c r="G82" s="161"/>
      <c r="H82" s="161"/>
      <c r="I82" s="161"/>
      <c r="J82" s="161"/>
      <c r="K82" s="147"/>
      <c r="L82" s="147"/>
      <c r="M82" s="151"/>
    </row>
    <row r="83" spans="1:13" ht="17.25">
      <c r="A83" s="472" t="s">
        <v>208</v>
      </c>
      <c r="B83" s="395" t="s">
        <v>204</v>
      </c>
      <c r="C83" s="142">
        <v>1</v>
      </c>
      <c r="D83" s="142" t="s">
        <v>2</v>
      </c>
      <c r="E83" s="142">
        <v>13286.14</v>
      </c>
      <c r="F83" s="143">
        <f>ROUND((E83*C83),2)</f>
        <v>13286.14</v>
      </c>
      <c r="G83" s="161"/>
      <c r="H83" s="143">
        <v>1</v>
      </c>
      <c r="I83" s="141">
        <v>13286.14</v>
      </c>
      <c r="J83" s="143">
        <f t="shared" ref="J83:J90" si="5">ROUND((I83*H83),2)</f>
        <v>13286.14</v>
      </c>
      <c r="K83" s="147"/>
      <c r="L83" s="147"/>
      <c r="M83" s="151"/>
    </row>
    <row r="84" spans="1:13" ht="17.25">
      <c r="A84" s="472"/>
      <c r="B84" s="395"/>
      <c r="C84" s="142"/>
      <c r="D84" s="142"/>
      <c r="E84" s="142"/>
      <c r="F84" s="143"/>
      <c r="G84" s="161"/>
      <c r="H84" s="143">
        <v>1</v>
      </c>
      <c r="I84" s="141">
        <v>13286.14</v>
      </c>
      <c r="J84" s="143">
        <f t="shared" si="5"/>
        <v>13286.14</v>
      </c>
      <c r="K84" s="143">
        <f>J84</f>
        <v>13286.14</v>
      </c>
      <c r="L84" s="147"/>
      <c r="M84" s="151" t="s">
        <v>315</v>
      </c>
    </row>
    <row r="85" spans="1:13" ht="17.25">
      <c r="A85" s="472" t="s">
        <v>209</v>
      </c>
      <c r="B85" s="395" t="s">
        <v>205</v>
      </c>
      <c r="C85" s="142">
        <v>1</v>
      </c>
      <c r="D85" s="142" t="s">
        <v>2</v>
      </c>
      <c r="E85" s="142">
        <v>13286.14</v>
      </c>
      <c r="F85" s="143">
        <f>ROUND((E85*C85),2)</f>
        <v>13286.14</v>
      </c>
      <c r="G85" s="161"/>
      <c r="H85" s="143">
        <v>0</v>
      </c>
      <c r="I85" s="141">
        <v>13286.14</v>
      </c>
      <c r="J85" s="143">
        <f t="shared" si="5"/>
        <v>0</v>
      </c>
      <c r="K85" s="147"/>
      <c r="L85" s="143">
        <f>F85</f>
        <v>13286.14</v>
      </c>
      <c r="M85" s="151"/>
    </row>
    <row r="86" spans="1:13" ht="40.5">
      <c r="A86" s="471">
        <v>15</v>
      </c>
      <c r="B86" s="395" t="s">
        <v>990</v>
      </c>
      <c r="C86" s="142">
        <v>522</v>
      </c>
      <c r="D86" s="142" t="s">
        <v>56</v>
      </c>
      <c r="E86" s="142">
        <v>422.42</v>
      </c>
      <c r="F86" s="143">
        <f>ROUND((E86*C86),2)</f>
        <v>220503.24</v>
      </c>
      <c r="G86" s="161"/>
      <c r="H86" s="143">
        <v>522</v>
      </c>
      <c r="I86" s="141">
        <v>422.42</v>
      </c>
      <c r="J86" s="143">
        <f t="shared" si="5"/>
        <v>220503.24</v>
      </c>
      <c r="K86" s="147"/>
      <c r="L86" s="143"/>
      <c r="M86" s="151"/>
    </row>
    <row r="87" spans="1:13" ht="31.5" customHeight="1">
      <c r="A87" s="471"/>
      <c r="B87" s="396" t="s">
        <v>309</v>
      </c>
      <c r="C87" s="142"/>
      <c r="D87" s="142"/>
      <c r="E87" s="142"/>
      <c r="F87" s="143"/>
      <c r="G87" s="161"/>
      <c r="H87" s="143">
        <v>254.52</v>
      </c>
      <c r="I87" s="141">
        <v>422.42</v>
      </c>
      <c r="J87" s="143">
        <f t="shared" si="5"/>
        <v>107514.34</v>
      </c>
      <c r="K87" s="147"/>
      <c r="L87" s="143"/>
      <c r="M87" s="184" t="s">
        <v>310</v>
      </c>
    </row>
    <row r="88" spans="1:13" ht="34.5">
      <c r="A88" s="471">
        <v>16</v>
      </c>
      <c r="B88" s="398" t="s">
        <v>374</v>
      </c>
      <c r="C88" s="142">
        <v>780</v>
      </c>
      <c r="D88" s="142" t="s">
        <v>56</v>
      </c>
      <c r="E88" s="142">
        <v>161.04</v>
      </c>
      <c r="F88" s="143">
        <v>125611.2</v>
      </c>
      <c r="G88" s="161"/>
      <c r="H88" s="143">
        <f>C88</f>
        <v>780</v>
      </c>
      <c r="I88" s="141">
        <v>422.42</v>
      </c>
      <c r="J88" s="143">
        <f t="shared" si="5"/>
        <v>329487.59999999998</v>
      </c>
      <c r="K88" s="147"/>
      <c r="L88" s="143"/>
      <c r="M88" s="151"/>
    </row>
    <row r="89" spans="1:13" ht="65.25" customHeight="1">
      <c r="A89" s="471"/>
      <c r="B89" s="396" t="s">
        <v>309</v>
      </c>
      <c r="C89" s="142"/>
      <c r="D89" s="142"/>
      <c r="E89" s="142"/>
      <c r="F89" s="143"/>
      <c r="G89" s="161"/>
      <c r="H89" s="143">
        <v>2500</v>
      </c>
      <c r="I89" s="141">
        <v>422.42</v>
      </c>
      <c r="J89" s="143">
        <f t="shared" si="5"/>
        <v>1056050</v>
      </c>
      <c r="K89" s="143">
        <f>J89</f>
        <v>1056050</v>
      </c>
      <c r="L89" s="143"/>
      <c r="M89" s="184" t="s">
        <v>898</v>
      </c>
    </row>
    <row r="90" spans="1:13" ht="40.5">
      <c r="A90" s="471">
        <v>17</v>
      </c>
      <c r="B90" s="395" t="s">
        <v>991</v>
      </c>
      <c r="C90" s="142">
        <v>1</v>
      </c>
      <c r="D90" s="142" t="s">
        <v>224</v>
      </c>
      <c r="E90" s="142">
        <v>79378.5</v>
      </c>
      <c r="F90" s="143">
        <f>ROUND((E90*C90),2)</f>
        <v>79378.5</v>
      </c>
      <c r="G90" s="161"/>
      <c r="H90" s="143">
        <v>1</v>
      </c>
      <c r="I90" s="143">
        <v>79378.5</v>
      </c>
      <c r="J90" s="143">
        <f t="shared" si="5"/>
        <v>79378.5</v>
      </c>
      <c r="K90" s="147"/>
      <c r="L90" s="147"/>
      <c r="M90" s="151"/>
    </row>
    <row r="91" spans="1:13" ht="17.25">
      <c r="A91" s="161"/>
      <c r="B91" s="399"/>
      <c r="C91" s="161"/>
      <c r="D91" s="161"/>
      <c r="E91" s="161"/>
      <c r="F91" s="475"/>
      <c r="G91" s="161"/>
      <c r="H91" s="161"/>
      <c r="I91" s="161"/>
      <c r="J91" s="475"/>
      <c r="K91" s="147"/>
      <c r="L91" s="147"/>
      <c r="M91" s="151"/>
    </row>
    <row r="92" spans="1:13" ht="17.25">
      <c r="A92" s="161"/>
      <c r="B92" s="400" t="s">
        <v>316</v>
      </c>
      <c r="C92" s="161"/>
      <c r="D92" s="161"/>
      <c r="E92" s="161"/>
      <c r="F92" s="161"/>
      <c r="G92" s="161"/>
      <c r="H92" s="161"/>
      <c r="I92" s="161"/>
      <c r="J92" s="161"/>
      <c r="K92" s="147"/>
      <c r="L92" s="147"/>
      <c r="M92" s="151"/>
    </row>
    <row r="93" spans="1:13" ht="40.5">
      <c r="A93" s="149">
        <v>1</v>
      </c>
      <c r="B93" s="401" t="s">
        <v>992</v>
      </c>
      <c r="C93" s="150">
        <v>560</v>
      </c>
      <c r="D93" s="150" t="s">
        <v>16</v>
      </c>
      <c r="E93" s="150">
        <v>101.04</v>
      </c>
      <c r="F93" s="143">
        <f>ROUND((E93*C93),2)</f>
        <v>56582.400000000001</v>
      </c>
      <c r="G93" s="161"/>
      <c r="H93" s="143">
        <v>560</v>
      </c>
      <c r="I93" s="143">
        <v>101.04</v>
      </c>
      <c r="J93" s="143">
        <f>ROUND((I93*H93),2)</f>
        <v>56582.400000000001</v>
      </c>
      <c r="K93" s="147"/>
      <c r="L93" s="147"/>
      <c r="M93" s="151"/>
    </row>
    <row r="94" spans="1:13" ht="17.25">
      <c r="A94" s="149"/>
      <c r="B94" s="396" t="s">
        <v>309</v>
      </c>
      <c r="C94" s="150"/>
      <c r="D94" s="150"/>
      <c r="E94" s="150"/>
      <c r="F94" s="161"/>
      <c r="G94" s="161"/>
      <c r="H94" s="151">
        <v>227.96</v>
      </c>
      <c r="I94" s="143">
        <v>101.04</v>
      </c>
      <c r="J94" s="143">
        <f>ROUND((I94*H94),2)</f>
        <v>23033.08</v>
      </c>
      <c r="K94" s="143">
        <f>H94*I94</f>
        <v>23033.078400000002</v>
      </c>
      <c r="L94" s="147"/>
      <c r="M94" s="184" t="s">
        <v>313</v>
      </c>
    </row>
    <row r="95" spans="1:13" ht="40.5">
      <c r="A95" s="149">
        <v>2</v>
      </c>
      <c r="B95" s="401" t="s">
        <v>993</v>
      </c>
      <c r="C95" s="150">
        <v>26</v>
      </c>
      <c r="D95" s="149" t="s">
        <v>16</v>
      </c>
      <c r="E95" s="150">
        <v>4787.42</v>
      </c>
      <c r="F95" s="143">
        <f>ROUND((E95*C95),2)</f>
        <v>124472.92</v>
      </c>
      <c r="G95" s="161"/>
      <c r="H95" s="152">
        <v>0</v>
      </c>
      <c r="I95" s="152">
        <v>0</v>
      </c>
      <c r="J95" s="143">
        <f>ROUND((I95*H95),2)</f>
        <v>0</v>
      </c>
      <c r="K95" s="147"/>
      <c r="L95" s="143">
        <f>(C95-H95)*E95</f>
        <v>124472.92</v>
      </c>
      <c r="M95" s="151"/>
    </row>
    <row r="96" spans="1:13" ht="54">
      <c r="A96" s="149">
        <v>3</v>
      </c>
      <c r="B96" s="401" t="s">
        <v>994</v>
      </c>
      <c r="C96" s="153"/>
      <c r="D96" s="153"/>
      <c r="E96" s="149"/>
      <c r="F96" s="161"/>
      <c r="G96" s="161"/>
      <c r="H96" s="161"/>
      <c r="I96" s="161"/>
      <c r="J96" s="161"/>
      <c r="K96" s="147"/>
      <c r="L96" s="147"/>
      <c r="M96" s="151"/>
    </row>
    <row r="97" spans="1:13" ht="34.5">
      <c r="A97" s="149" t="s">
        <v>208</v>
      </c>
      <c r="B97" s="401" t="s">
        <v>317</v>
      </c>
      <c r="C97" s="150">
        <v>50.14</v>
      </c>
      <c r="D97" s="149" t="s">
        <v>16</v>
      </c>
      <c r="E97" s="150">
        <v>8785.93</v>
      </c>
      <c r="F97" s="143">
        <f>ROUND((E97*C97),2)</f>
        <v>440526.53</v>
      </c>
      <c r="G97" s="161"/>
      <c r="H97" s="143">
        <v>50.14</v>
      </c>
      <c r="I97" s="143">
        <v>8785.93</v>
      </c>
      <c r="J97" s="143">
        <f>ROUND((I97*H97),2)</f>
        <v>440526.53</v>
      </c>
      <c r="K97" s="147"/>
      <c r="L97" s="147"/>
      <c r="M97" s="151"/>
    </row>
    <row r="98" spans="1:13" ht="33">
      <c r="A98" s="149"/>
      <c r="B98" s="396" t="s">
        <v>309</v>
      </c>
      <c r="C98" s="150"/>
      <c r="D98" s="149"/>
      <c r="E98" s="150"/>
      <c r="F98" s="161"/>
      <c r="G98" s="161"/>
      <c r="H98" s="143">
        <v>54.14</v>
      </c>
      <c r="I98" s="143">
        <v>8785.93</v>
      </c>
      <c r="J98" s="143">
        <f>ROUND((I98*H98),2)</f>
        <v>475670.25</v>
      </c>
      <c r="K98" s="143">
        <f>J98</f>
        <v>475670.25</v>
      </c>
      <c r="L98" s="147"/>
      <c r="M98" s="184" t="s">
        <v>310</v>
      </c>
    </row>
    <row r="99" spans="1:13" ht="34.5">
      <c r="A99" s="149" t="s">
        <v>209</v>
      </c>
      <c r="B99" s="401" t="s">
        <v>236</v>
      </c>
      <c r="C99" s="150">
        <v>3</v>
      </c>
      <c r="D99" s="149" t="s">
        <v>16</v>
      </c>
      <c r="E99" s="150">
        <v>8785.93</v>
      </c>
      <c r="F99" s="143">
        <f>ROUND((E99*C99),2)</f>
        <v>26357.79</v>
      </c>
      <c r="G99" s="161"/>
      <c r="H99" s="143">
        <v>0</v>
      </c>
      <c r="I99" s="143">
        <f>E99</f>
        <v>8785.93</v>
      </c>
      <c r="J99" s="143">
        <v>0</v>
      </c>
      <c r="K99" s="147"/>
      <c r="L99" s="143">
        <f>F99</f>
        <v>26357.79</v>
      </c>
      <c r="M99" s="151"/>
    </row>
    <row r="100" spans="1:13" ht="34.5">
      <c r="A100" s="149" t="s">
        <v>210</v>
      </c>
      <c r="B100" s="401" t="s">
        <v>318</v>
      </c>
      <c r="C100" s="150">
        <v>4</v>
      </c>
      <c r="D100" s="149" t="s">
        <v>16</v>
      </c>
      <c r="E100" s="150">
        <v>10721.93</v>
      </c>
      <c r="F100" s="143">
        <f>ROUND((E100*C100),2)</f>
        <v>42887.72</v>
      </c>
      <c r="G100" s="161"/>
      <c r="H100" s="143">
        <v>4</v>
      </c>
      <c r="I100" s="143">
        <v>10721.93</v>
      </c>
      <c r="J100" s="143">
        <f t="shared" ref="J100:J103" si="6">ROUND((I100*H100),2)</f>
        <v>42887.72</v>
      </c>
      <c r="K100" s="147"/>
      <c r="L100" s="147"/>
      <c r="M100" s="151"/>
    </row>
    <row r="101" spans="1:13" ht="33">
      <c r="A101" s="149"/>
      <c r="B101" s="396" t="s">
        <v>309</v>
      </c>
      <c r="C101" s="150"/>
      <c r="D101" s="149"/>
      <c r="E101" s="150"/>
      <c r="F101" s="161"/>
      <c r="G101" s="161"/>
      <c r="H101" s="143">
        <v>0.18</v>
      </c>
      <c r="I101" s="143">
        <v>10721.93</v>
      </c>
      <c r="J101" s="143">
        <f t="shared" si="6"/>
        <v>1929.95</v>
      </c>
      <c r="K101" s="143">
        <f>J101</f>
        <v>1929.95</v>
      </c>
      <c r="L101" s="147"/>
      <c r="M101" s="184" t="s">
        <v>384</v>
      </c>
    </row>
    <row r="102" spans="1:13" ht="31.5" customHeight="1">
      <c r="A102" s="149" t="s">
        <v>211</v>
      </c>
      <c r="B102" s="401" t="s">
        <v>319</v>
      </c>
      <c r="C102" s="150">
        <v>10</v>
      </c>
      <c r="D102" s="149" t="s">
        <v>16</v>
      </c>
      <c r="E102" s="150">
        <v>11049.14</v>
      </c>
      <c r="F102" s="143">
        <f>ROUND((E102*C102),2)</f>
        <v>110491.4</v>
      </c>
      <c r="G102" s="161"/>
      <c r="H102" s="143">
        <v>5.8</v>
      </c>
      <c r="I102" s="143">
        <v>11049.14</v>
      </c>
      <c r="J102" s="143">
        <f t="shared" si="6"/>
        <v>64085.01</v>
      </c>
      <c r="K102" s="147"/>
      <c r="L102" s="143">
        <f>(C102-H102)*E102</f>
        <v>46406.387999999999</v>
      </c>
      <c r="M102" s="184" t="s">
        <v>384</v>
      </c>
    </row>
    <row r="103" spans="1:13" ht="34.5">
      <c r="A103" s="149" t="s">
        <v>212</v>
      </c>
      <c r="B103" s="401" t="s">
        <v>320</v>
      </c>
      <c r="C103" s="150">
        <v>21</v>
      </c>
      <c r="D103" s="149" t="s">
        <v>16</v>
      </c>
      <c r="E103" s="150">
        <v>9371.9500000000007</v>
      </c>
      <c r="F103" s="143">
        <f>ROUND((E103*C103),2)</f>
        <v>196810.95</v>
      </c>
      <c r="G103" s="161"/>
      <c r="H103" s="143">
        <v>21</v>
      </c>
      <c r="I103" s="143">
        <v>9371.9500000000007</v>
      </c>
      <c r="J103" s="143">
        <f t="shared" si="6"/>
        <v>196810.95</v>
      </c>
      <c r="K103" s="147"/>
      <c r="L103" s="147"/>
      <c r="M103" s="151"/>
    </row>
    <row r="104" spans="1:13" ht="33">
      <c r="A104" s="149"/>
      <c r="B104" s="396" t="s">
        <v>309</v>
      </c>
      <c r="C104" s="150"/>
      <c r="D104" s="149"/>
      <c r="E104" s="150"/>
      <c r="F104" s="161"/>
      <c r="G104" s="161"/>
      <c r="H104" s="141">
        <v>1.25</v>
      </c>
      <c r="I104" s="143">
        <v>9371.9500000000007</v>
      </c>
      <c r="J104" s="143">
        <f>ROUND((I104*H104),2)</f>
        <v>11714.94</v>
      </c>
      <c r="K104" s="143">
        <f>J104</f>
        <v>11714.94</v>
      </c>
      <c r="L104" s="147"/>
      <c r="M104" s="184" t="s">
        <v>310</v>
      </c>
    </row>
    <row r="105" spans="1:13" ht="54">
      <c r="A105" s="149">
        <v>4</v>
      </c>
      <c r="B105" s="401" t="s">
        <v>995</v>
      </c>
      <c r="C105" s="153"/>
      <c r="D105" s="153"/>
      <c r="E105" s="149"/>
      <c r="F105" s="161"/>
      <c r="G105" s="161"/>
      <c r="H105" s="161"/>
      <c r="I105" s="161"/>
      <c r="J105" s="161"/>
      <c r="K105" s="147"/>
      <c r="L105" s="147"/>
      <c r="M105" s="151"/>
    </row>
    <row r="106" spans="1:13" ht="34.5">
      <c r="A106" s="149" t="s">
        <v>208</v>
      </c>
      <c r="B106" s="401" t="s">
        <v>321</v>
      </c>
      <c r="C106" s="150">
        <v>40</v>
      </c>
      <c r="D106" s="149" t="s">
        <v>16</v>
      </c>
      <c r="E106" s="150">
        <v>7741.81</v>
      </c>
      <c r="F106" s="143">
        <f>ROUND((E106*C106),2)</f>
        <v>309672.40000000002</v>
      </c>
      <c r="G106" s="161"/>
      <c r="H106" s="143">
        <v>36.17</v>
      </c>
      <c r="I106" s="143">
        <v>7741.81</v>
      </c>
      <c r="J106" s="143">
        <f>ROUND((I106*H106),2)</f>
        <v>280021.27</v>
      </c>
      <c r="K106" s="147"/>
      <c r="L106" s="141">
        <f>(C106-H106)*E106</f>
        <v>29651.132299999987</v>
      </c>
      <c r="M106" s="151"/>
    </row>
    <row r="107" spans="1:13" ht="40.5">
      <c r="A107" s="149">
        <v>5</v>
      </c>
      <c r="B107" s="401" t="s">
        <v>996</v>
      </c>
      <c r="C107" s="150"/>
      <c r="D107" s="149"/>
      <c r="E107" s="150"/>
      <c r="F107" s="161"/>
      <c r="G107" s="161"/>
      <c r="H107" s="161"/>
      <c r="I107" s="161"/>
      <c r="J107" s="161"/>
      <c r="K107" s="147"/>
      <c r="L107" s="147"/>
      <c r="M107" s="151"/>
    </row>
    <row r="108" spans="1:13" ht="34.5">
      <c r="A108" s="149" t="s">
        <v>208</v>
      </c>
      <c r="B108" s="401" t="s">
        <v>322</v>
      </c>
      <c r="C108" s="150">
        <v>195</v>
      </c>
      <c r="D108" s="149" t="s">
        <v>56</v>
      </c>
      <c r="E108" s="150">
        <v>1207.73</v>
      </c>
      <c r="F108" s="143">
        <f>ROUND((E108*C108),2)</f>
        <v>235507.35</v>
      </c>
      <c r="G108" s="161"/>
      <c r="H108" s="143">
        <v>195</v>
      </c>
      <c r="I108" s="143">
        <v>1207.73</v>
      </c>
      <c r="J108" s="143">
        <f t="shared" ref="J108:J114" si="7">ROUND((I108*H108),2)</f>
        <v>235507.35</v>
      </c>
      <c r="K108" s="147"/>
      <c r="L108" s="147"/>
      <c r="M108" s="151"/>
    </row>
    <row r="109" spans="1:13" ht="33">
      <c r="A109" s="149"/>
      <c r="B109" s="396" t="s">
        <v>309</v>
      </c>
      <c r="C109" s="150"/>
      <c r="D109" s="149"/>
      <c r="E109" s="150"/>
      <c r="F109" s="161"/>
      <c r="G109" s="161"/>
      <c r="H109" s="141">
        <v>154.22999999999999</v>
      </c>
      <c r="I109" s="143">
        <v>1207.73</v>
      </c>
      <c r="J109" s="143">
        <f t="shared" si="7"/>
        <v>186268.2</v>
      </c>
      <c r="K109" s="143">
        <f>J109</f>
        <v>186268.2</v>
      </c>
      <c r="L109" s="147"/>
      <c r="M109" s="184" t="s">
        <v>310</v>
      </c>
    </row>
    <row r="110" spans="1:13" ht="54">
      <c r="A110" s="149">
        <v>6</v>
      </c>
      <c r="B110" s="401" t="s">
        <v>997</v>
      </c>
      <c r="C110" s="150">
        <v>17</v>
      </c>
      <c r="D110" s="149" t="s">
        <v>21</v>
      </c>
      <c r="E110" s="150">
        <v>64516.28</v>
      </c>
      <c r="F110" s="143">
        <f>ROUND((E110*C110),2)</f>
        <v>1096776.76</v>
      </c>
      <c r="G110" s="161"/>
      <c r="H110" s="143">
        <v>12.13</v>
      </c>
      <c r="I110" s="143">
        <v>64516.28</v>
      </c>
      <c r="J110" s="143">
        <f t="shared" si="7"/>
        <v>782582.48</v>
      </c>
      <c r="K110" s="147"/>
      <c r="L110" s="141">
        <f>(C110-H110)*E110</f>
        <v>314194.28359999997</v>
      </c>
      <c r="M110" s="184"/>
    </row>
    <row r="111" spans="1:13" ht="40.5">
      <c r="A111" s="149">
        <v>7</v>
      </c>
      <c r="B111" s="401" t="s">
        <v>998</v>
      </c>
      <c r="C111" s="150">
        <v>70</v>
      </c>
      <c r="D111" s="149" t="s">
        <v>41</v>
      </c>
      <c r="E111" s="150">
        <v>585.12</v>
      </c>
      <c r="F111" s="143">
        <f>ROUND((E111*C111),2)</f>
        <v>40958.400000000001</v>
      </c>
      <c r="G111" s="161"/>
      <c r="H111" s="143">
        <v>70</v>
      </c>
      <c r="I111" s="143">
        <v>585.12</v>
      </c>
      <c r="J111" s="143">
        <f t="shared" si="7"/>
        <v>40958.400000000001</v>
      </c>
      <c r="K111" s="147"/>
      <c r="L111" s="147"/>
      <c r="M111" s="151"/>
    </row>
    <row r="112" spans="1:13" ht="49.5">
      <c r="A112" s="149"/>
      <c r="B112" s="396" t="s">
        <v>309</v>
      </c>
      <c r="C112" s="150" t="s">
        <v>299</v>
      </c>
      <c r="D112" s="149"/>
      <c r="E112" s="150"/>
      <c r="F112" s="161"/>
      <c r="G112" s="161"/>
      <c r="H112" s="154">
        <f>277.32</f>
        <v>277.32</v>
      </c>
      <c r="I112" s="155">
        <v>585.12</v>
      </c>
      <c r="J112" s="155">
        <f>ROUND((I112*H112),2)</f>
        <v>162265.48000000001</v>
      </c>
      <c r="K112" s="155">
        <f>J112</f>
        <v>162265.48000000001</v>
      </c>
      <c r="L112" s="147"/>
      <c r="M112" s="184" t="s">
        <v>625</v>
      </c>
    </row>
    <row r="113" spans="1:13" ht="54">
      <c r="A113" s="149">
        <v>8</v>
      </c>
      <c r="B113" s="402" t="s">
        <v>999</v>
      </c>
      <c r="C113" s="150">
        <v>455</v>
      </c>
      <c r="D113" s="149" t="s">
        <v>56</v>
      </c>
      <c r="E113" s="150">
        <v>422.42</v>
      </c>
      <c r="F113" s="143">
        <f>ROUND((E113*C113),2)</f>
        <v>192201.1</v>
      </c>
      <c r="G113" s="161"/>
      <c r="H113" s="143">
        <f>455</f>
        <v>455</v>
      </c>
      <c r="I113" s="143">
        <v>422.42</v>
      </c>
      <c r="J113" s="143">
        <f t="shared" si="7"/>
        <v>192201.1</v>
      </c>
      <c r="K113" s="147"/>
      <c r="L113" s="143">
        <f>F113-J113</f>
        <v>0</v>
      </c>
      <c r="M113" s="584"/>
    </row>
    <row r="114" spans="1:13" ht="31.5" customHeight="1">
      <c r="A114" s="149"/>
      <c r="B114" s="396" t="s">
        <v>309</v>
      </c>
      <c r="C114" s="150"/>
      <c r="D114" s="149"/>
      <c r="E114" s="150"/>
      <c r="F114" s="143"/>
      <c r="G114" s="161"/>
      <c r="H114" s="143">
        <v>25.75</v>
      </c>
      <c r="I114" s="143">
        <v>422.42</v>
      </c>
      <c r="J114" s="143">
        <f t="shared" si="7"/>
        <v>10877.32</v>
      </c>
      <c r="K114" s="147"/>
      <c r="L114" s="143"/>
      <c r="M114" s="184" t="s">
        <v>310</v>
      </c>
    </row>
    <row r="115" spans="1:13" ht="40.5">
      <c r="A115" s="149">
        <v>9</v>
      </c>
      <c r="B115" s="402" t="s">
        <v>1000</v>
      </c>
      <c r="C115" s="161"/>
      <c r="D115" s="161"/>
      <c r="E115" s="161"/>
      <c r="F115" s="161"/>
      <c r="G115" s="161"/>
      <c r="H115" s="143"/>
      <c r="I115" s="143"/>
      <c r="J115" s="161"/>
      <c r="K115" s="147"/>
      <c r="L115" s="147"/>
      <c r="M115" s="584"/>
    </row>
    <row r="116" spans="1:13" ht="51.75">
      <c r="A116" s="149"/>
      <c r="B116" s="401" t="s">
        <v>237</v>
      </c>
      <c r="C116" s="157">
        <v>95</v>
      </c>
      <c r="D116" s="158" t="s">
        <v>225</v>
      </c>
      <c r="E116" s="157">
        <v>251.09</v>
      </c>
      <c r="F116" s="159">
        <f>ROUND((E116*C116),2)</f>
        <v>23853.55</v>
      </c>
      <c r="G116" s="390"/>
      <c r="H116" s="159">
        <v>95</v>
      </c>
      <c r="I116" s="159">
        <v>251.09</v>
      </c>
      <c r="J116" s="159">
        <f>ROUND((I116*H116),2)</f>
        <v>23853.55</v>
      </c>
      <c r="K116" s="476"/>
      <c r="L116" s="476"/>
      <c r="M116" s="151"/>
    </row>
    <row r="117" spans="1:13" ht="17.25">
      <c r="A117" s="149"/>
      <c r="B117" s="396" t="s">
        <v>309</v>
      </c>
      <c r="C117" s="150"/>
      <c r="D117" s="149"/>
      <c r="E117" s="150"/>
      <c r="F117" s="161"/>
      <c r="G117" s="161"/>
      <c r="H117" s="143">
        <f>222.84-H116</f>
        <v>127.84</v>
      </c>
      <c r="I117" s="159">
        <v>251.09</v>
      </c>
      <c r="J117" s="159">
        <f>ROUND((I117*H117),2)</f>
        <v>32099.35</v>
      </c>
      <c r="K117" s="143">
        <f>J117</f>
        <v>32099.35</v>
      </c>
      <c r="L117" s="147"/>
      <c r="M117" s="184" t="s">
        <v>313</v>
      </c>
    </row>
    <row r="118" spans="1:13" ht="67.5">
      <c r="A118" s="149">
        <v>10</v>
      </c>
      <c r="B118" s="403" t="s">
        <v>1001</v>
      </c>
      <c r="C118" s="160"/>
      <c r="D118" s="160"/>
      <c r="E118" s="160"/>
      <c r="F118" s="161"/>
      <c r="G118" s="161"/>
      <c r="H118" s="161"/>
      <c r="I118" s="161"/>
      <c r="J118" s="161"/>
      <c r="K118" s="147"/>
      <c r="L118" s="147"/>
      <c r="M118" s="151"/>
    </row>
    <row r="119" spans="1:13" ht="34.5">
      <c r="A119" s="149" t="s">
        <v>208</v>
      </c>
      <c r="B119" s="401" t="s">
        <v>204</v>
      </c>
      <c r="C119" s="150">
        <v>1</v>
      </c>
      <c r="D119" s="149" t="s">
        <v>222</v>
      </c>
      <c r="E119" s="150">
        <v>53752.28</v>
      </c>
      <c r="F119" s="143">
        <f>ROUND((E119*C119),2)</f>
        <v>53752.28</v>
      </c>
      <c r="G119" s="161"/>
      <c r="H119" s="143">
        <v>1</v>
      </c>
      <c r="I119" s="143">
        <v>53752.28</v>
      </c>
      <c r="J119" s="143">
        <f>ROUND((I119*H119),2)</f>
        <v>53752.28</v>
      </c>
      <c r="K119" s="147"/>
      <c r="L119" s="147"/>
      <c r="M119" s="151"/>
    </row>
    <row r="120" spans="1:13" ht="34.5">
      <c r="A120" s="149" t="s">
        <v>209</v>
      </c>
      <c r="B120" s="401" t="s">
        <v>230</v>
      </c>
      <c r="C120" s="150">
        <v>1</v>
      </c>
      <c r="D120" s="149" t="s">
        <v>222</v>
      </c>
      <c r="E120" s="150">
        <v>81238.02</v>
      </c>
      <c r="F120" s="143">
        <f>ROUND((E120*C120),2)</f>
        <v>81238.02</v>
      </c>
      <c r="G120" s="161"/>
      <c r="H120" s="143">
        <v>0</v>
      </c>
      <c r="I120" s="143">
        <v>81238.02</v>
      </c>
      <c r="J120" s="143">
        <f>ROUND((I120*H120),2)</f>
        <v>0</v>
      </c>
      <c r="K120" s="147"/>
      <c r="L120" s="143">
        <f>F120</f>
        <v>81238.02</v>
      </c>
      <c r="M120" s="151"/>
    </row>
    <row r="121" spans="1:13" ht="54">
      <c r="A121" s="149">
        <v>11</v>
      </c>
      <c r="B121" s="401" t="s">
        <v>1002</v>
      </c>
      <c r="C121" s="150"/>
      <c r="D121" s="149"/>
      <c r="E121" s="150"/>
      <c r="F121" s="161"/>
      <c r="G121" s="161"/>
      <c r="H121" s="143"/>
      <c r="I121" s="143"/>
      <c r="J121" s="161"/>
      <c r="K121" s="147"/>
      <c r="L121" s="147"/>
      <c r="M121" s="151"/>
    </row>
    <row r="122" spans="1:13" ht="34.5">
      <c r="A122" s="149" t="s">
        <v>208</v>
      </c>
      <c r="B122" s="401" t="s">
        <v>204</v>
      </c>
      <c r="C122" s="150">
        <v>1</v>
      </c>
      <c r="D122" s="149" t="s">
        <v>222</v>
      </c>
      <c r="E122" s="150">
        <v>546.49</v>
      </c>
      <c r="F122" s="143">
        <f>ROUND((E122*C122),2)</f>
        <v>546.49</v>
      </c>
      <c r="G122" s="161"/>
      <c r="H122" s="143">
        <v>1</v>
      </c>
      <c r="I122" s="143">
        <v>546.49</v>
      </c>
      <c r="J122" s="143">
        <f>ROUND((I122*H122),2)</f>
        <v>546.49</v>
      </c>
      <c r="K122" s="147"/>
      <c r="L122" s="147"/>
      <c r="M122" s="151"/>
    </row>
    <row r="123" spans="1:13" ht="34.5">
      <c r="A123" s="149" t="s">
        <v>209</v>
      </c>
      <c r="B123" s="401" t="s">
        <v>230</v>
      </c>
      <c r="C123" s="150">
        <v>1</v>
      </c>
      <c r="D123" s="149" t="s">
        <v>222</v>
      </c>
      <c r="E123" s="150">
        <v>778.04</v>
      </c>
      <c r="F123" s="143">
        <f>ROUND((E123*C123),2)</f>
        <v>778.04</v>
      </c>
      <c r="G123" s="161"/>
      <c r="H123" s="143">
        <v>0</v>
      </c>
      <c r="I123" s="143">
        <v>778.04</v>
      </c>
      <c r="J123" s="143">
        <f>ROUND((I123*H123),2)</f>
        <v>0</v>
      </c>
      <c r="K123" s="147"/>
      <c r="L123" s="143">
        <f>F123</f>
        <v>778.04</v>
      </c>
      <c r="M123" s="151"/>
    </row>
    <row r="124" spans="1:13" ht="40.5">
      <c r="A124" s="149">
        <v>12</v>
      </c>
      <c r="B124" s="401" t="s">
        <v>1003</v>
      </c>
      <c r="C124" s="150"/>
      <c r="D124" s="149"/>
      <c r="E124" s="150"/>
      <c r="F124" s="161"/>
      <c r="G124" s="161"/>
      <c r="H124" s="161"/>
      <c r="I124" s="161"/>
      <c r="J124" s="161"/>
      <c r="K124" s="147"/>
      <c r="L124" s="147"/>
      <c r="M124" s="151"/>
    </row>
    <row r="125" spans="1:13" ht="34.5">
      <c r="A125" s="149" t="s">
        <v>208</v>
      </c>
      <c r="B125" s="401" t="s">
        <v>229</v>
      </c>
      <c r="C125" s="150">
        <v>1</v>
      </c>
      <c r="D125" s="149" t="s">
        <v>222</v>
      </c>
      <c r="E125" s="150">
        <v>513.77</v>
      </c>
      <c r="F125" s="143">
        <f>ROUND((E125*C125),2)</f>
        <v>513.77</v>
      </c>
      <c r="G125" s="161"/>
      <c r="H125" s="143">
        <v>1</v>
      </c>
      <c r="I125" s="141">
        <v>513.77</v>
      </c>
      <c r="J125" s="143">
        <f>ROUND((I125*H125),2)</f>
        <v>513.77</v>
      </c>
      <c r="K125" s="147"/>
      <c r="L125" s="147"/>
      <c r="M125" s="151"/>
    </row>
    <row r="126" spans="1:13" ht="34.5">
      <c r="A126" s="149" t="s">
        <v>209</v>
      </c>
      <c r="B126" s="401" t="s">
        <v>230</v>
      </c>
      <c r="C126" s="150">
        <v>1</v>
      </c>
      <c r="D126" s="149" t="s">
        <v>222</v>
      </c>
      <c r="E126" s="150">
        <v>579.58000000000004</v>
      </c>
      <c r="F126" s="143">
        <f>ROUND((E126*C126),2)</f>
        <v>579.58000000000004</v>
      </c>
      <c r="G126" s="161"/>
      <c r="H126" s="143">
        <v>0</v>
      </c>
      <c r="I126" s="141">
        <v>579.58000000000004</v>
      </c>
      <c r="J126" s="143">
        <f>ROUND((I126*H126),2)</f>
        <v>0</v>
      </c>
      <c r="K126" s="147"/>
      <c r="L126" s="143">
        <f>F126</f>
        <v>579.58000000000004</v>
      </c>
      <c r="M126" s="151"/>
    </row>
    <row r="127" spans="1:13" ht="67.5">
      <c r="A127" s="149">
        <v>13</v>
      </c>
      <c r="B127" s="401" t="s">
        <v>1004</v>
      </c>
      <c r="C127" s="160"/>
      <c r="D127" s="160"/>
      <c r="E127" s="160"/>
      <c r="F127" s="161"/>
      <c r="G127" s="161"/>
      <c r="H127" s="161"/>
      <c r="I127" s="161"/>
      <c r="J127" s="161"/>
      <c r="K127" s="147"/>
      <c r="L127" s="147"/>
      <c r="M127" s="151"/>
    </row>
    <row r="128" spans="1:13" ht="34.5">
      <c r="A128" s="149" t="s">
        <v>208</v>
      </c>
      <c r="B128" s="401" t="s">
        <v>204</v>
      </c>
      <c r="C128" s="162">
        <v>1</v>
      </c>
      <c r="D128" s="149" t="s">
        <v>222</v>
      </c>
      <c r="E128" s="162">
        <v>13286.14</v>
      </c>
      <c r="F128" s="143">
        <f t="shared" ref="F128:F133" si="8">ROUND((E128*C128),2)</f>
        <v>13286.14</v>
      </c>
      <c r="G128" s="161"/>
      <c r="H128" s="143">
        <v>1</v>
      </c>
      <c r="I128" s="143">
        <v>13286.14</v>
      </c>
      <c r="J128" s="143">
        <f t="shared" ref="J128:J133" si="9">ROUND((I128*H128),2)</f>
        <v>13286.14</v>
      </c>
      <c r="K128" s="147"/>
      <c r="L128" s="143"/>
      <c r="M128" s="151"/>
    </row>
    <row r="129" spans="1:13" ht="34.5">
      <c r="A129" s="149" t="s">
        <v>209</v>
      </c>
      <c r="B129" s="401" t="s">
        <v>205</v>
      </c>
      <c r="C129" s="162">
        <v>1</v>
      </c>
      <c r="D129" s="149" t="s">
        <v>222</v>
      </c>
      <c r="E129" s="162">
        <v>13286.14</v>
      </c>
      <c r="F129" s="143">
        <f t="shared" si="8"/>
        <v>13286.14</v>
      </c>
      <c r="G129" s="161"/>
      <c r="H129" s="143">
        <v>0</v>
      </c>
      <c r="I129" s="143">
        <v>13286.14</v>
      </c>
      <c r="J129" s="143">
        <f t="shared" si="9"/>
        <v>0</v>
      </c>
      <c r="K129" s="147"/>
      <c r="L129" s="143">
        <f>F129</f>
        <v>13286.14</v>
      </c>
      <c r="M129" s="151"/>
    </row>
    <row r="130" spans="1:13" ht="54">
      <c r="A130" s="149">
        <v>14</v>
      </c>
      <c r="B130" s="401" t="s">
        <v>1005</v>
      </c>
      <c r="C130" s="150">
        <v>2</v>
      </c>
      <c r="D130" s="149" t="s">
        <v>222</v>
      </c>
      <c r="E130" s="150">
        <v>2799.47</v>
      </c>
      <c r="F130" s="143">
        <f t="shared" si="8"/>
        <v>5598.94</v>
      </c>
      <c r="G130" s="161"/>
      <c r="H130" s="143">
        <v>2</v>
      </c>
      <c r="I130" s="141">
        <v>2799.47</v>
      </c>
      <c r="J130" s="143">
        <f t="shared" si="9"/>
        <v>5598.94</v>
      </c>
      <c r="K130" s="147"/>
      <c r="L130" s="147"/>
      <c r="M130" s="151"/>
    </row>
    <row r="131" spans="1:13" ht="67.5">
      <c r="A131" s="149">
        <v>15</v>
      </c>
      <c r="B131" s="401" t="s">
        <v>1006</v>
      </c>
      <c r="C131" s="150">
        <v>6</v>
      </c>
      <c r="D131" s="149" t="s">
        <v>222</v>
      </c>
      <c r="E131" s="150">
        <v>886.2</v>
      </c>
      <c r="F131" s="143">
        <f t="shared" si="8"/>
        <v>5317.2</v>
      </c>
      <c r="G131" s="161"/>
      <c r="H131" s="143">
        <v>6</v>
      </c>
      <c r="I131" s="143">
        <v>886.2</v>
      </c>
      <c r="J131" s="143">
        <f t="shared" si="9"/>
        <v>5317.2</v>
      </c>
      <c r="K131" s="147"/>
      <c r="L131" s="147"/>
      <c r="M131" s="151"/>
    </row>
    <row r="132" spans="1:13" ht="54">
      <c r="A132" s="149">
        <v>16</v>
      </c>
      <c r="B132" s="401" t="s">
        <v>1007</v>
      </c>
      <c r="C132" s="150">
        <v>1</v>
      </c>
      <c r="D132" s="149" t="s">
        <v>223</v>
      </c>
      <c r="E132" s="150">
        <v>5530.97</v>
      </c>
      <c r="F132" s="143">
        <f t="shared" si="8"/>
        <v>5530.97</v>
      </c>
      <c r="G132" s="161"/>
      <c r="H132" s="143">
        <v>1</v>
      </c>
      <c r="I132" s="143">
        <v>5530.97</v>
      </c>
      <c r="J132" s="143">
        <f t="shared" si="9"/>
        <v>5530.97</v>
      </c>
      <c r="K132" s="147"/>
      <c r="L132" s="147"/>
      <c r="M132" s="151"/>
    </row>
    <row r="133" spans="1:13" ht="54">
      <c r="A133" s="149">
        <v>17</v>
      </c>
      <c r="B133" s="401" t="s">
        <v>1008</v>
      </c>
      <c r="C133" s="150">
        <v>1</v>
      </c>
      <c r="D133" s="149" t="s">
        <v>224</v>
      </c>
      <c r="E133" s="150">
        <v>79378.5</v>
      </c>
      <c r="F133" s="143">
        <f t="shared" si="8"/>
        <v>79378.5</v>
      </c>
      <c r="G133" s="161"/>
      <c r="H133" s="143">
        <v>1</v>
      </c>
      <c r="I133" s="143">
        <v>79378.5</v>
      </c>
      <c r="J133" s="143">
        <f t="shared" si="9"/>
        <v>79378.5</v>
      </c>
      <c r="K133" s="147"/>
      <c r="L133" s="147"/>
      <c r="M133" s="151"/>
    </row>
    <row r="134" spans="1:13" ht="17.25">
      <c r="A134" s="161"/>
      <c r="B134" s="399"/>
      <c r="C134" s="161"/>
      <c r="D134" s="161"/>
      <c r="E134" s="161"/>
      <c r="F134" s="152"/>
      <c r="G134" s="161"/>
      <c r="H134" s="161"/>
      <c r="I134" s="161"/>
      <c r="J134" s="152"/>
      <c r="K134" s="147"/>
      <c r="L134" s="147"/>
      <c r="M134" s="152"/>
    </row>
    <row r="135" spans="1:13">
      <c r="A135" s="161"/>
      <c r="B135" s="404" t="s">
        <v>323</v>
      </c>
      <c r="C135" s="161"/>
      <c r="D135" s="161"/>
      <c r="E135" s="161"/>
      <c r="F135" s="161"/>
      <c r="G135" s="161"/>
      <c r="H135" s="161"/>
      <c r="I135" s="161"/>
      <c r="J135" s="161"/>
      <c r="K135" s="161"/>
      <c r="L135" s="161"/>
      <c r="M135" s="151"/>
    </row>
    <row r="136" spans="1:13" ht="40.5">
      <c r="A136" s="151">
        <v>1</v>
      </c>
      <c r="B136" s="405" t="s">
        <v>1009</v>
      </c>
      <c r="C136" s="152">
        <v>105</v>
      </c>
      <c r="D136" s="151" t="s">
        <v>16</v>
      </c>
      <c r="E136" s="151">
        <v>1183.8699999999999</v>
      </c>
      <c r="F136" s="143">
        <f>ROUND((E136*C136),2)</f>
        <v>124306.35</v>
      </c>
      <c r="G136" s="161"/>
      <c r="H136" s="143">
        <v>15</v>
      </c>
      <c r="I136" s="143">
        <v>1183.8699999999999</v>
      </c>
      <c r="J136" s="143">
        <f t="shared" ref="J136:J143" si="10">ROUND((I136*H136),2)</f>
        <v>17758.05</v>
      </c>
      <c r="K136" s="151"/>
      <c r="L136" s="151">
        <f>(C136-H136)*E136</f>
        <v>106548.29999999999</v>
      </c>
      <c r="M136" s="151"/>
    </row>
    <row r="137" spans="1:13" ht="54">
      <c r="A137" s="151">
        <v>2</v>
      </c>
      <c r="B137" s="405" t="s">
        <v>1010</v>
      </c>
      <c r="C137" s="152">
        <v>8376</v>
      </c>
      <c r="D137" s="151" t="s">
        <v>16</v>
      </c>
      <c r="E137" s="151">
        <v>101.04</v>
      </c>
      <c r="F137" s="143">
        <f>ROUND((E137*C137),2)</f>
        <v>846311.04</v>
      </c>
      <c r="G137" s="161"/>
      <c r="H137" s="143">
        <v>7500</v>
      </c>
      <c r="I137" s="143">
        <v>101.04</v>
      </c>
      <c r="J137" s="143">
        <f t="shared" si="10"/>
        <v>757800</v>
      </c>
      <c r="K137" s="161" t="s">
        <v>324</v>
      </c>
      <c r="L137" s="151">
        <f>(C137-H137)*E137</f>
        <v>88511.040000000008</v>
      </c>
      <c r="M137" s="151"/>
    </row>
    <row r="138" spans="1:13" ht="54">
      <c r="A138" s="151">
        <v>3</v>
      </c>
      <c r="B138" s="405" t="s">
        <v>1011</v>
      </c>
      <c r="C138" s="152">
        <v>523.5</v>
      </c>
      <c r="D138" s="151" t="s">
        <v>16</v>
      </c>
      <c r="E138" s="151">
        <v>129.13999999999999</v>
      </c>
      <c r="F138" s="143">
        <f>ROUND((E138*C138),2)</f>
        <v>67604.789999999994</v>
      </c>
      <c r="G138" s="161"/>
      <c r="H138" s="143">
        <v>523.5</v>
      </c>
      <c r="I138" s="143">
        <v>129.13999999999999</v>
      </c>
      <c r="J138" s="143">
        <f t="shared" si="10"/>
        <v>67604.789999999994</v>
      </c>
      <c r="K138" s="161"/>
      <c r="L138" s="151"/>
      <c r="M138" s="151"/>
    </row>
    <row r="139" spans="1:13" ht="54">
      <c r="A139" s="151">
        <v>4</v>
      </c>
      <c r="B139" s="405" t="s">
        <v>1012</v>
      </c>
      <c r="C139" s="152">
        <v>1047</v>
      </c>
      <c r="D139" s="151" t="s">
        <v>16</v>
      </c>
      <c r="E139" s="151">
        <v>175.77</v>
      </c>
      <c r="F139" s="143">
        <f>ROUND((E139*C139),2)</f>
        <v>184031.19</v>
      </c>
      <c r="G139" s="161"/>
      <c r="H139" s="143">
        <v>1047</v>
      </c>
      <c r="I139" s="143">
        <v>175.77</v>
      </c>
      <c r="J139" s="143">
        <f t="shared" si="10"/>
        <v>184031.19</v>
      </c>
      <c r="K139" s="161"/>
      <c r="L139" s="161"/>
      <c r="M139" s="151"/>
    </row>
    <row r="140" spans="1:13" ht="54">
      <c r="A140" s="151">
        <v>5</v>
      </c>
      <c r="B140" s="405" t="s">
        <v>1013</v>
      </c>
      <c r="C140" s="152">
        <v>523.5</v>
      </c>
      <c r="D140" s="151" t="s">
        <v>16</v>
      </c>
      <c r="E140" s="152">
        <v>652.20000000000005</v>
      </c>
      <c r="F140" s="143">
        <f>ROUND((E140*C140),2)</f>
        <v>341426.7</v>
      </c>
      <c r="G140" s="161"/>
      <c r="H140" s="143">
        <v>523.5</v>
      </c>
      <c r="I140" s="143">
        <v>652.20000000000005</v>
      </c>
      <c r="J140" s="143">
        <f t="shared" si="10"/>
        <v>341426.7</v>
      </c>
      <c r="K140" s="161"/>
      <c r="L140" s="161"/>
      <c r="M140" s="151"/>
    </row>
    <row r="141" spans="1:13" ht="17.25">
      <c r="A141" s="151"/>
      <c r="B141" s="396" t="s">
        <v>309</v>
      </c>
      <c r="C141" s="152"/>
      <c r="D141" s="151"/>
      <c r="E141" s="152"/>
      <c r="F141" s="161"/>
      <c r="G141" s="161"/>
      <c r="H141" s="143">
        <v>980</v>
      </c>
      <c r="I141" s="143">
        <v>652.20000000000005</v>
      </c>
      <c r="J141" s="143">
        <f t="shared" si="10"/>
        <v>639156</v>
      </c>
      <c r="K141" s="165">
        <f>J141</f>
        <v>639156</v>
      </c>
      <c r="L141" s="161"/>
      <c r="M141" s="151" t="s">
        <v>325</v>
      </c>
    </row>
    <row r="142" spans="1:13" ht="40.5">
      <c r="A142" s="151">
        <v>6</v>
      </c>
      <c r="B142" s="405" t="s">
        <v>1014</v>
      </c>
      <c r="C142" s="152">
        <v>138</v>
      </c>
      <c r="D142" s="151" t="s">
        <v>41</v>
      </c>
      <c r="E142" s="151">
        <v>556.04</v>
      </c>
      <c r="F142" s="143">
        <f>ROUND((E142*C142),2)</f>
        <v>76733.52</v>
      </c>
      <c r="G142" s="161"/>
      <c r="H142" s="143">
        <v>138</v>
      </c>
      <c r="I142" s="143">
        <v>556.04</v>
      </c>
      <c r="J142" s="143">
        <f t="shared" si="10"/>
        <v>76733.52</v>
      </c>
      <c r="K142" s="161"/>
      <c r="L142" s="161"/>
      <c r="M142" s="151"/>
    </row>
    <row r="143" spans="1:13" ht="40.5">
      <c r="A143" s="151">
        <v>7</v>
      </c>
      <c r="B143" s="405" t="s">
        <v>1015</v>
      </c>
      <c r="C143" s="152">
        <v>260</v>
      </c>
      <c r="D143" s="151" t="s">
        <v>16</v>
      </c>
      <c r="E143" s="151">
        <v>299.49</v>
      </c>
      <c r="F143" s="143">
        <f>ROUND((E143*C143),2)</f>
        <v>77867.399999999994</v>
      </c>
      <c r="G143" s="161"/>
      <c r="H143" s="143">
        <v>260</v>
      </c>
      <c r="I143" s="143">
        <v>299.49</v>
      </c>
      <c r="J143" s="143">
        <f t="shared" si="10"/>
        <v>77867.399999999994</v>
      </c>
      <c r="K143" s="161"/>
      <c r="L143" s="152"/>
      <c r="M143" s="151"/>
    </row>
    <row r="144" spans="1:13" ht="54">
      <c r="A144" s="151">
        <v>8</v>
      </c>
      <c r="B144" s="405" t="s">
        <v>1016</v>
      </c>
      <c r="C144" s="151"/>
      <c r="D144" s="151"/>
      <c r="E144" s="151"/>
      <c r="F144" s="161"/>
      <c r="G144" s="161"/>
      <c r="H144" s="161"/>
      <c r="I144" s="161"/>
      <c r="J144" s="161"/>
      <c r="K144" s="161"/>
      <c r="L144" s="161"/>
      <c r="M144" s="151"/>
    </row>
    <row r="145" spans="1:13" ht="17.25">
      <c r="A145" s="161"/>
      <c r="B145" s="399" t="s">
        <v>971</v>
      </c>
      <c r="C145" s="152">
        <v>9270</v>
      </c>
      <c r="D145" s="151" t="s">
        <v>41</v>
      </c>
      <c r="E145" s="151">
        <v>482.86</v>
      </c>
      <c r="F145" s="143">
        <f>ROUND((E145*C145),2)</f>
        <v>4476112.2</v>
      </c>
      <c r="G145" s="161"/>
      <c r="H145" s="143">
        <v>7000</v>
      </c>
      <c r="I145" s="143">
        <v>482.86</v>
      </c>
      <c r="J145" s="143">
        <f>ROUND((I145*H145),2)</f>
        <v>3380020</v>
      </c>
      <c r="K145" s="161"/>
      <c r="L145" s="161">
        <f>(C145-H145)*E145</f>
        <v>1096092.2</v>
      </c>
      <c r="M145" s="151"/>
    </row>
    <row r="146" spans="1:13" ht="17.25">
      <c r="A146" s="161"/>
      <c r="B146" s="399" t="s">
        <v>972</v>
      </c>
      <c r="C146" s="152">
        <v>100</v>
      </c>
      <c r="D146" s="151" t="s">
        <v>41</v>
      </c>
      <c r="E146" s="151">
        <v>680.55</v>
      </c>
      <c r="F146" s="143">
        <f>ROUND((E146*C146),2)</f>
        <v>68055</v>
      </c>
      <c r="G146" s="161"/>
      <c r="H146" s="143">
        <v>0</v>
      </c>
      <c r="I146" s="143">
        <v>680.55</v>
      </c>
      <c r="J146" s="143">
        <f>ROUND((I146*H146),2)</f>
        <v>0</v>
      </c>
      <c r="K146" s="161"/>
      <c r="L146" s="161"/>
      <c r="M146" s="151"/>
    </row>
    <row r="147" spans="1:13" ht="27">
      <c r="A147" s="161"/>
      <c r="B147" s="405" t="s">
        <v>356</v>
      </c>
      <c r="C147" s="152">
        <v>4250</v>
      </c>
      <c r="D147" s="151" t="s">
        <v>41</v>
      </c>
      <c r="E147" s="151">
        <v>1690.59</v>
      </c>
      <c r="F147" s="143">
        <f>ROUND((E147*C147),2)</f>
        <v>7185007.5</v>
      </c>
      <c r="G147" s="161"/>
      <c r="H147" s="143">
        <v>4250</v>
      </c>
      <c r="I147" s="143">
        <v>1690.59</v>
      </c>
      <c r="J147" s="143">
        <f>ROUND((I147*H147),2)</f>
        <v>7185007.5</v>
      </c>
      <c r="K147" s="161"/>
      <c r="L147" s="161"/>
      <c r="M147" s="151"/>
    </row>
    <row r="148" spans="1:13" ht="17.25">
      <c r="A148" s="161"/>
      <c r="B148" s="396" t="s">
        <v>309</v>
      </c>
      <c r="C148" s="152"/>
      <c r="D148" s="151"/>
      <c r="E148" s="151"/>
      <c r="F148" s="143"/>
      <c r="G148" s="161"/>
      <c r="H148" s="143">
        <v>600</v>
      </c>
      <c r="I148" s="143">
        <v>1690.59</v>
      </c>
      <c r="J148" s="143">
        <f>ROUND((I148*H148),2)</f>
        <v>1014354</v>
      </c>
      <c r="K148" s="152">
        <f>J148</f>
        <v>1014354</v>
      </c>
      <c r="L148" s="161"/>
      <c r="M148" s="151" t="s">
        <v>326</v>
      </c>
    </row>
    <row r="149" spans="1:13" ht="31.5" customHeight="1">
      <c r="A149" s="151">
        <v>9</v>
      </c>
      <c r="B149" s="405" t="s">
        <v>1017</v>
      </c>
      <c r="C149" s="151"/>
      <c r="D149" s="151"/>
      <c r="E149" s="151"/>
      <c r="F149" s="161"/>
      <c r="G149" s="161"/>
      <c r="H149" s="161"/>
      <c r="I149" s="161"/>
      <c r="J149" s="161"/>
      <c r="K149" s="161"/>
      <c r="L149" s="161"/>
      <c r="M149" s="151"/>
    </row>
    <row r="150" spans="1:13">
      <c r="A150" s="151"/>
      <c r="B150" s="396" t="s">
        <v>242</v>
      </c>
      <c r="C150" s="151"/>
      <c r="D150" s="151"/>
      <c r="E150" s="151"/>
      <c r="F150" s="161"/>
      <c r="G150" s="161"/>
      <c r="H150" s="161"/>
      <c r="I150" s="161"/>
      <c r="J150" s="161"/>
      <c r="K150" s="161"/>
      <c r="L150" s="161"/>
      <c r="M150" s="151"/>
    </row>
    <row r="151" spans="1:13" ht="17.25">
      <c r="A151" s="161"/>
      <c r="B151" s="399" t="s">
        <v>240</v>
      </c>
      <c r="C151" s="152">
        <v>37</v>
      </c>
      <c r="D151" s="151" t="s">
        <v>28</v>
      </c>
      <c r="E151" s="151">
        <v>523.77</v>
      </c>
      <c r="F151" s="143">
        <f>ROUND((E151*C151),2)</f>
        <v>19379.490000000002</v>
      </c>
      <c r="G151" s="161"/>
      <c r="H151" s="143">
        <v>0</v>
      </c>
      <c r="I151" s="143">
        <v>523.77</v>
      </c>
      <c r="J151" s="143">
        <f>ROUND((I151*H151),2)</f>
        <v>0</v>
      </c>
      <c r="K151" s="161"/>
      <c r="L151" s="151">
        <f>(C151-H151)*E151</f>
        <v>19379.489999999998</v>
      </c>
      <c r="M151" s="151"/>
    </row>
    <row r="152" spans="1:13" ht="17.25">
      <c r="A152" s="161"/>
      <c r="B152" s="399" t="s">
        <v>241</v>
      </c>
      <c r="C152" s="152">
        <v>12</v>
      </c>
      <c r="D152" s="151" t="s">
        <v>28</v>
      </c>
      <c r="E152" s="151">
        <v>4191.26</v>
      </c>
      <c r="F152" s="143">
        <f>ROUND((E152*C152),2)</f>
        <v>50295.12</v>
      </c>
      <c r="G152" s="161"/>
      <c r="H152" s="143">
        <v>5</v>
      </c>
      <c r="I152" s="143">
        <v>4191.26</v>
      </c>
      <c r="J152" s="143">
        <f>ROUND((I152*H152),2)</f>
        <v>20956.3</v>
      </c>
      <c r="K152" s="161"/>
      <c r="L152" s="151">
        <f>(C152-H152)*E152</f>
        <v>29338.82</v>
      </c>
      <c r="M152" s="151"/>
    </row>
    <row r="153" spans="1:13" ht="17.25">
      <c r="A153" s="161"/>
      <c r="B153" s="406" t="s">
        <v>243</v>
      </c>
      <c r="C153" s="151"/>
      <c r="D153" s="151"/>
      <c r="E153" s="151"/>
      <c r="F153" s="161"/>
      <c r="G153" s="161"/>
      <c r="H153" s="143"/>
      <c r="I153" s="143"/>
      <c r="J153" s="161"/>
      <c r="K153" s="161"/>
      <c r="L153" s="161"/>
      <c r="M153" s="151"/>
    </row>
    <row r="154" spans="1:13" ht="17.25">
      <c r="A154" s="161"/>
      <c r="B154" s="399" t="s">
        <v>240</v>
      </c>
      <c r="C154" s="152">
        <v>62</v>
      </c>
      <c r="D154" s="151" t="s">
        <v>28</v>
      </c>
      <c r="E154" s="151">
        <v>153.38</v>
      </c>
      <c r="F154" s="143">
        <f>ROUND((E154*C154),2)</f>
        <v>9509.56</v>
      </c>
      <c r="G154" s="161"/>
      <c r="H154" s="143">
        <v>15</v>
      </c>
      <c r="I154" s="143">
        <v>153.38</v>
      </c>
      <c r="J154" s="143">
        <f>ROUND((I154*H154),2)</f>
        <v>2300.6999999999998</v>
      </c>
      <c r="K154" s="161"/>
      <c r="L154" s="151">
        <f>(C154-H154)*E154</f>
        <v>7208.86</v>
      </c>
      <c r="M154" s="151"/>
    </row>
    <row r="155" spans="1:13" ht="17.25">
      <c r="A155" s="161"/>
      <c r="B155" s="399" t="s">
        <v>241</v>
      </c>
      <c r="C155" s="152">
        <v>4</v>
      </c>
      <c r="D155" s="151" t="s">
        <v>28</v>
      </c>
      <c r="E155" s="151">
        <v>694.19</v>
      </c>
      <c r="F155" s="143">
        <f>ROUND((E155*C155),2)</f>
        <v>2776.76</v>
      </c>
      <c r="G155" s="161"/>
      <c r="H155" s="143">
        <v>2</v>
      </c>
      <c r="I155" s="143">
        <v>694.19</v>
      </c>
      <c r="J155" s="143">
        <f>ROUND((I155*H155),2)</f>
        <v>1388.38</v>
      </c>
      <c r="K155" s="161"/>
      <c r="L155" s="151">
        <f>(C155-H155)*E155</f>
        <v>1388.38</v>
      </c>
      <c r="M155" s="152"/>
    </row>
    <row r="156" spans="1:13" ht="17.25">
      <c r="A156" s="161"/>
      <c r="B156" s="406" t="s">
        <v>244</v>
      </c>
      <c r="C156" s="152"/>
      <c r="D156" s="151"/>
      <c r="E156" s="151"/>
      <c r="F156" s="161"/>
      <c r="G156" s="161"/>
      <c r="H156" s="143"/>
      <c r="I156" s="143"/>
      <c r="J156" s="161"/>
      <c r="K156" s="161"/>
      <c r="L156" s="161"/>
      <c r="M156" s="151"/>
    </row>
    <row r="157" spans="1:13" ht="17.25">
      <c r="A157" s="161"/>
      <c r="B157" s="399" t="s">
        <v>240</v>
      </c>
      <c r="C157" s="152">
        <v>62</v>
      </c>
      <c r="D157" s="151" t="s">
        <v>28</v>
      </c>
      <c r="E157" s="151">
        <v>268.13</v>
      </c>
      <c r="F157" s="143">
        <f>ROUND((E157*C157),2)</f>
        <v>16624.060000000001</v>
      </c>
      <c r="G157" s="161"/>
      <c r="H157" s="143">
        <v>62</v>
      </c>
      <c r="I157" s="143">
        <v>268.13</v>
      </c>
      <c r="J157" s="143">
        <f>ROUND((I157*H157),2)</f>
        <v>16624.060000000001</v>
      </c>
      <c r="K157" s="161"/>
      <c r="L157" s="151">
        <f>(C157-H157)*E157</f>
        <v>0</v>
      </c>
      <c r="M157" s="151"/>
    </row>
    <row r="158" spans="1:13" ht="17.25">
      <c r="A158" s="161"/>
      <c r="B158" s="399" t="s">
        <v>241</v>
      </c>
      <c r="C158" s="152">
        <v>4</v>
      </c>
      <c r="D158" s="151" t="s">
        <v>28</v>
      </c>
      <c r="E158" s="151">
        <v>1417.92</v>
      </c>
      <c r="F158" s="143">
        <f>ROUND((E158*C158),2)</f>
        <v>5671.68</v>
      </c>
      <c r="G158" s="161"/>
      <c r="H158" s="143">
        <v>4</v>
      </c>
      <c r="I158" s="143">
        <v>1417.92</v>
      </c>
      <c r="J158" s="143">
        <f>ROUND((I158*H158),2)</f>
        <v>5671.68</v>
      </c>
      <c r="K158" s="161"/>
      <c r="L158" s="161"/>
      <c r="M158" s="151"/>
    </row>
    <row r="159" spans="1:13" ht="17.25">
      <c r="A159" s="161"/>
      <c r="B159" s="396" t="s">
        <v>309</v>
      </c>
      <c r="C159" s="152"/>
      <c r="D159" s="151"/>
      <c r="E159" s="151"/>
      <c r="F159" s="143"/>
      <c r="G159" s="161"/>
      <c r="H159" s="143">
        <v>16</v>
      </c>
      <c r="I159" s="143">
        <v>1417.92</v>
      </c>
      <c r="J159" s="143">
        <f>ROUND((I159*H159),2)</f>
        <v>22686.720000000001</v>
      </c>
      <c r="K159" s="143">
        <f>J159</f>
        <v>22686.720000000001</v>
      </c>
      <c r="L159" s="161"/>
      <c r="M159" s="151" t="s">
        <v>326</v>
      </c>
    </row>
    <row r="160" spans="1:13" ht="17.25">
      <c r="A160" s="161"/>
      <c r="B160" s="406" t="s">
        <v>245</v>
      </c>
      <c r="C160" s="151"/>
      <c r="D160" s="151"/>
      <c r="E160" s="151"/>
      <c r="F160" s="161"/>
      <c r="G160" s="161"/>
      <c r="H160" s="143"/>
      <c r="I160" s="143"/>
      <c r="J160" s="161"/>
      <c r="K160" s="161"/>
      <c r="L160" s="161"/>
      <c r="M160" s="151"/>
    </row>
    <row r="161" spans="1:13" ht="17.25">
      <c r="A161" s="161"/>
      <c r="B161" s="399" t="s">
        <v>240</v>
      </c>
      <c r="C161" s="152">
        <v>46</v>
      </c>
      <c r="D161" s="151" t="s">
        <v>28</v>
      </c>
      <c r="E161" s="151">
        <v>211.32</v>
      </c>
      <c r="F161" s="143">
        <f>ROUND((E161*C161),2)</f>
        <v>9720.7199999999993</v>
      </c>
      <c r="G161" s="161"/>
      <c r="H161" s="143">
        <v>46</v>
      </c>
      <c r="I161" s="143">
        <v>211.32</v>
      </c>
      <c r="J161" s="143">
        <f>ROUND((I161*H161),2)</f>
        <v>9720.7199999999993</v>
      </c>
      <c r="K161" s="161"/>
      <c r="L161" s="161"/>
      <c r="M161" s="151"/>
    </row>
    <row r="162" spans="1:13" ht="17.25">
      <c r="A162" s="161"/>
      <c r="B162" s="396" t="s">
        <v>309</v>
      </c>
      <c r="C162" s="152"/>
      <c r="D162" s="151"/>
      <c r="E162" s="151"/>
      <c r="F162" s="143"/>
      <c r="G162" s="161"/>
      <c r="H162" s="143">
        <v>16</v>
      </c>
      <c r="I162" s="143">
        <v>211.32</v>
      </c>
      <c r="J162" s="143">
        <f>ROUND((I162*H162),2)</f>
        <v>3381.12</v>
      </c>
      <c r="K162" s="143">
        <f>J162</f>
        <v>3381.12</v>
      </c>
      <c r="L162" s="161"/>
      <c r="M162" s="151" t="s">
        <v>326</v>
      </c>
    </row>
    <row r="163" spans="1:13" ht="17.25">
      <c r="A163" s="161"/>
      <c r="B163" s="406" t="s">
        <v>246</v>
      </c>
      <c r="C163" s="151"/>
      <c r="D163" s="151"/>
      <c r="E163" s="151"/>
      <c r="F163" s="161"/>
      <c r="G163" s="161"/>
      <c r="H163" s="143"/>
      <c r="I163" s="143"/>
      <c r="J163" s="161"/>
      <c r="K163" s="161"/>
      <c r="L163" s="161"/>
      <c r="M163" s="151"/>
    </row>
    <row r="164" spans="1:13" ht="17.25">
      <c r="A164" s="161"/>
      <c r="B164" s="399" t="s">
        <v>240</v>
      </c>
      <c r="C164" s="152">
        <v>46</v>
      </c>
      <c r="D164" s="151" t="s">
        <v>28</v>
      </c>
      <c r="E164" s="151">
        <v>511.27</v>
      </c>
      <c r="F164" s="143">
        <f>ROUND((E164*C164),2)</f>
        <v>23518.42</v>
      </c>
      <c r="G164" s="161"/>
      <c r="H164" s="143">
        <v>8</v>
      </c>
      <c r="I164" s="143">
        <v>511.27</v>
      </c>
      <c r="J164" s="143">
        <f>ROUND((I164*H164),2)</f>
        <v>4090.16</v>
      </c>
      <c r="K164" s="161"/>
      <c r="L164" s="151">
        <f>(C164-H164)*E164</f>
        <v>19428.259999999998</v>
      </c>
      <c r="M164" s="151"/>
    </row>
    <row r="165" spans="1:13" ht="67.5">
      <c r="A165" s="151">
        <v>10</v>
      </c>
      <c r="B165" s="405" t="s">
        <v>1018</v>
      </c>
      <c r="C165" s="151"/>
      <c r="D165" s="151"/>
      <c r="E165" s="151"/>
      <c r="F165" s="161"/>
      <c r="G165" s="161"/>
      <c r="H165" s="161"/>
      <c r="I165" s="161"/>
      <c r="J165" s="161"/>
      <c r="K165" s="161"/>
      <c r="L165" s="161"/>
      <c r="M165" s="151"/>
    </row>
    <row r="166" spans="1:13" ht="17.25">
      <c r="A166" s="161"/>
      <c r="B166" s="399" t="s">
        <v>247</v>
      </c>
      <c r="C166" s="152">
        <v>40</v>
      </c>
      <c r="D166" s="151" t="s">
        <v>28</v>
      </c>
      <c r="E166" s="151">
        <v>14833.23</v>
      </c>
      <c r="F166" s="143">
        <f>ROUND((E166*C166),2)</f>
        <v>593329.19999999995</v>
      </c>
      <c r="G166" s="161"/>
      <c r="H166" s="143">
        <v>20</v>
      </c>
      <c r="I166" s="141">
        <v>14833.23</v>
      </c>
      <c r="J166" s="143">
        <f>ROUND((I166*H166),2)</f>
        <v>296664.59999999998</v>
      </c>
      <c r="K166" s="161"/>
      <c r="L166" s="141">
        <f>(C166-H166)*I166</f>
        <v>296664.59999999998</v>
      </c>
      <c r="M166" s="151"/>
    </row>
    <row r="167" spans="1:13" ht="17.25">
      <c r="A167" s="161"/>
      <c r="B167" s="399" t="s">
        <v>973</v>
      </c>
      <c r="C167" s="152">
        <v>8</v>
      </c>
      <c r="D167" s="151" t="s">
        <v>28</v>
      </c>
      <c r="E167" s="151">
        <v>53752.28</v>
      </c>
      <c r="F167" s="143">
        <f>ROUND((E167*C167),2)</f>
        <v>430018.24</v>
      </c>
      <c r="G167" s="161"/>
      <c r="H167" s="143">
        <v>7</v>
      </c>
      <c r="I167" s="141">
        <v>53752.28</v>
      </c>
      <c r="J167" s="143">
        <f>ROUND((I167*H167),2)</f>
        <v>376265.96</v>
      </c>
      <c r="K167" s="152"/>
      <c r="L167" s="143">
        <f>F167-J167</f>
        <v>53752.27999999997</v>
      </c>
      <c r="M167" s="151"/>
    </row>
    <row r="168" spans="1:13" ht="54">
      <c r="A168" s="151">
        <v>11</v>
      </c>
      <c r="B168" s="405" t="s">
        <v>1019</v>
      </c>
      <c r="C168" s="151"/>
      <c r="D168" s="151"/>
      <c r="E168" s="151"/>
      <c r="F168" s="161"/>
      <c r="G168" s="161"/>
      <c r="H168" s="161"/>
      <c r="I168" s="161"/>
      <c r="J168" s="161"/>
      <c r="K168" s="161"/>
      <c r="L168" s="161"/>
      <c r="M168" s="151"/>
    </row>
    <row r="169" spans="1:13" ht="17.25">
      <c r="A169" s="161"/>
      <c r="B169" s="399" t="s">
        <v>247</v>
      </c>
      <c r="C169" s="152">
        <v>40</v>
      </c>
      <c r="D169" s="151" t="s">
        <v>28</v>
      </c>
      <c r="E169" s="151">
        <v>137.53</v>
      </c>
      <c r="F169" s="143">
        <f>ROUND((E169*C169),2)</f>
        <v>5501.2</v>
      </c>
      <c r="G169" s="161"/>
      <c r="H169" s="152">
        <v>20</v>
      </c>
      <c r="I169" s="151">
        <v>137.53</v>
      </c>
      <c r="J169" s="143">
        <f>ROUND((I169*H169),2)</f>
        <v>2750.6</v>
      </c>
      <c r="K169" s="161"/>
      <c r="L169" s="141">
        <f>(C169-H169)*E169</f>
        <v>2750.6</v>
      </c>
      <c r="M169" s="151"/>
    </row>
    <row r="170" spans="1:13" ht="17.25">
      <c r="A170" s="161"/>
      <c r="B170" s="399" t="s">
        <v>973</v>
      </c>
      <c r="C170" s="152">
        <v>8</v>
      </c>
      <c r="D170" s="151" t="s">
        <v>28</v>
      </c>
      <c r="E170" s="151">
        <v>546.49</v>
      </c>
      <c r="F170" s="143">
        <f>ROUND((E170*C170),2)</f>
        <v>4371.92</v>
      </c>
      <c r="G170" s="161"/>
      <c r="H170" s="152">
        <v>7</v>
      </c>
      <c r="I170" s="151">
        <v>546.49</v>
      </c>
      <c r="J170" s="143">
        <f>ROUND((I170*H170),2)</f>
        <v>3825.43</v>
      </c>
      <c r="K170" s="161"/>
      <c r="L170" s="141">
        <f>(C170-H170)*E170</f>
        <v>546.49</v>
      </c>
      <c r="M170" s="151"/>
    </row>
    <row r="171" spans="1:13" ht="81">
      <c r="A171" s="151">
        <v>12</v>
      </c>
      <c r="B171" s="405" t="s">
        <v>1020</v>
      </c>
      <c r="C171" s="152">
        <v>48</v>
      </c>
      <c r="D171" s="151" t="s">
        <v>28</v>
      </c>
      <c r="E171" s="151">
        <v>13286.14</v>
      </c>
      <c r="F171" s="143">
        <f>ROUND((E171*C171),2)</f>
        <v>637734.72</v>
      </c>
      <c r="G171" s="161"/>
      <c r="H171" s="141">
        <v>0</v>
      </c>
      <c r="I171" s="141">
        <v>13286.14</v>
      </c>
      <c r="J171" s="143">
        <f>ROUND((I171*H171),2)</f>
        <v>0</v>
      </c>
      <c r="K171" s="161"/>
      <c r="L171" s="141">
        <f>(C171-H171)*E171</f>
        <v>637734.72</v>
      </c>
      <c r="M171" s="151"/>
    </row>
    <row r="172" spans="1:13" ht="27">
      <c r="A172" s="151">
        <v>13</v>
      </c>
      <c r="B172" s="405" t="s">
        <v>375</v>
      </c>
      <c r="D172" s="151"/>
      <c r="E172" s="151"/>
      <c r="F172" s="143"/>
      <c r="G172" s="161"/>
      <c r="H172" s="141"/>
      <c r="I172" s="141"/>
      <c r="J172" s="143"/>
      <c r="K172" s="161"/>
      <c r="L172" s="141"/>
      <c r="M172" s="151"/>
    </row>
    <row r="173" spans="1:13" ht="17.25">
      <c r="A173" s="151" t="s">
        <v>208</v>
      </c>
      <c r="B173" s="405" t="s">
        <v>376</v>
      </c>
      <c r="C173" s="152">
        <v>40</v>
      </c>
      <c r="D173" s="151" t="s">
        <v>28</v>
      </c>
      <c r="E173" s="151">
        <v>7892.83</v>
      </c>
      <c r="F173" s="143">
        <v>315713.2</v>
      </c>
      <c r="G173" s="161"/>
      <c r="H173" s="141">
        <v>0</v>
      </c>
      <c r="I173" s="141">
        <f>E173</f>
        <v>7892.83</v>
      </c>
      <c r="J173" s="143">
        <v>0</v>
      </c>
      <c r="K173" s="475"/>
      <c r="L173" s="143">
        <f>F173</f>
        <v>315713.2</v>
      </c>
      <c r="M173" s="151"/>
    </row>
    <row r="174" spans="1:13" ht="17.25">
      <c r="A174" s="151" t="s">
        <v>209</v>
      </c>
      <c r="B174" s="405" t="s">
        <v>377</v>
      </c>
      <c r="C174" s="152">
        <v>8</v>
      </c>
      <c r="D174" s="151" t="s">
        <v>28</v>
      </c>
      <c r="E174" s="151">
        <v>18794.189999999999</v>
      </c>
      <c r="F174" s="143">
        <v>150353.51999999999</v>
      </c>
      <c r="G174" s="161"/>
      <c r="H174" s="141">
        <v>0</v>
      </c>
      <c r="I174" s="141">
        <f>E174</f>
        <v>18794.189999999999</v>
      </c>
      <c r="J174" s="143">
        <v>0</v>
      </c>
      <c r="K174" s="161"/>
      <c r="L174" s="143">
        <f>F174</f>
        <v>150353.51999999999</v>
      </c>
      <c r="M174" s="151"/>
    </row>
    <row r="175" spans="1:13" ht="54">
      <c r="A175" s="151">
        <v>14</v>
      </c>
      <c r="B175" s="405" t="s">
        <v>1021</v>
      </c>
      <c r="C175" s="152"/>
      <c r="D175" s="151"/>
      <c r="E175" s="151"/>
      <c r="F175" s="161"/>
      <c r="G175" s="161"/>
      <c r="H175" s="161"/>
      <c r="I175" s="161"/>
      <c r="J175" s="161"/>
      <c r="K175" s="161"/>
      <c r="L175" s="161"/>
      <c r="M175" s="151"/>
    </row>
    <row r="176" spans="1:13" ht="17.25">
      <c r="A176" s="161"/>
      <c r="B176" s="399" t="s">
        <v>248</v>
      </c>
      <c r="C176" s="152">
        <v>160</v>
      </c>
      <c r="D176" s="151" t="s">
        <v>28</v>
      </c>
      <c r="E176" s="151">
        <v>219.63</v>
      </c>
      <c r="F176" s="143">
        <f>ROUND((E176*C176),2)</f>
        <v>35140.800000000003</v>
      </c>
      <c r="G176" s="161"/>
      <c r="H176" s="143">
        <v>60</v>
      </c>
      <c r="I176" s="141">
        <v>219.63</v>
      </c>
      <c r="J176" s="143">
        <f t="shared" ref="J176:J181" si="11">ROUND((I176*H176),2)</f>
        <v>13177.8</v>
      </c>
      <c r="K176" s="161"/>
      <c r="L176" s="143">
        <f>(C176-H176)*E176</f>
        <v>21963</v>
      </c>
      <c r="M176" s="151"/>
    </row>
    <row r="177" spans="1:13" ht="17.25">
      <c r="A177" s="161"/>
      <c r="B177" s="399" t="s">
        <v>974</v>
      </c>
      <c r="C177" s="152">
        <v>32</v>
      </c>
      <c r="D177" s="151" t="s">
        <v>28</v>
      </c>
      <c r="E177" s="151">
        <v>577.35</v>
      </c>
      <c r="F177" s="143">
        <f>ROUND((E177*C177),2)</f>
        <v>18475.2</v>
      </c>
      <c r="G177" s="161"/>
      <c r="H177" s="143">
        <v>32</v>
      </c>
      <c r="I177" s="141">
        <v>577.35</v>
      </c>
      <c r="J177" s="143">
        <f t="shared" si="11"/>
        <v>18475.2</v>
      </c>
      <c r="K177" s="161"/>
      <c r="L177" s="161"/>
      <c r="M177" s="151"/>
    </row>
    <row r="178" spans="1:13" ht="17.25">
      <c r="A178" s="161"/>
      <c r="B178" s="396" t="s">
        <v>309</v>
      </c>
      <c r="C178" s="152"/>
      <c r="D178" s="151"/>
      <c r="E178" s="151"/>
      <c r="F178" s="161"/>
      <c r="G178" s="161"/>
      <c r="H178" s="143">
        <v>16</v>
      </c>
      <c r="I178" s="141">
        <v>577.35</v>
      </c>
      <c r="J178" s="143">
        <f t="shared" si="11"/>
        <v>9237.6</v>
      </c>
      <c r="K178" s="143">
        <f>J178</f>
        <v>9237.6</v>
      </c>
      <c r="L178" s="161"/>
      <c r="M178" s="151" t="s">
        <v>326</v>
      </c>
    </row>
    <row r="179" spans="1:13" ht="67.5">
      <c r="A179" s="151">
        <v>15</v>
      </c>
      <c r="B179" s="405" t="s">
        <v>1022</v>
      </c>
      <c r="C179" s="152">
        <v>17</v>
      </c>
      <c r="D179" s="151" t="s">
        <v>28</v>
      </c>
      <c r="E179" s="151">
        <v>36677.480000000003</v>
      </c>
      <c r="F179" s="143">
        <f>ROUND((E179*C179),2)</f>
        <v>623517.16</v>
      </c>
      <c r="G179" s="161"/>
      <c r="H179" s="143">
        <v>16</v>
      </c>
      <c r="I179" s="143">
        <v>36677.480000000003</v>
      </c>
      <c r="J179" s="143">
        <f t="shared" si="11"/>
        <v>586839.68000000005</v>
      </c>
      <c r="K179" s="161"/>
      <c r="L179" s="151">
        <f>(C179-H179)*E179</f>
        <v>36677.480000000003</v>
      </c>
      <c r="M179" s="151"/>
    </row>
    <row r="180" spans="1:13" ht="54">
      <c r="A180" s="151">
        <v>16</v>
      </c>
      <c r="B180" s="405" t="s">
        <v>1023</v>
      </c>
      <c r="C180" s="152">
        <v>17</v>
      </c>
      <c r="D180" s="151" t="s">
        <v>28</v>
      </c>
      <c r="E180" s="151">
        <v>227.23</v>
      </c>
      <c r="F180" s="143">
        <f>ROUND((E180*C180),2)</f>
        <v>3862.91</v>
      </c>
      <c r="G180" s="161"/>
      <c r="H180" s="143">
        <v>16</v>
      </c>
      <c r="I180" s="143">
        <v>227.23</v>
      </c>
      <c r="J180" s="143">
        <f t="shared" si="11"/>
        <v>3635.68</v>
      </c>
      <c r="K180" s="161"/>
      <c r="L180" s="151">
        <f>(C180-H180)*E180</f>
        <v>227.23</v>
      </c>
      <c r="M180" s="151"/>
    </row>
    <row r="181" spans="1:13" ht="94.5">
      <c r="A181" s="151">
        <v>17</v>
      </c>
      <c r="B181" s="405" t="s">
        <v>1024</v>
      </c>
      <c r="C181" s="152">
        <v>17</v>
      </c>
      <c r="D181" s="151" t="s">
        <v>28</v>
      </c>
      <c r="E181" s="151">
        <v>8337.07</v>
      </c>
      <c r="F181" s="143">
        <f>ROUND((E181*C181),2)</f>
        <v>141730.19</v>
      </c>
      <c r="G181" s="161"/>
      <c r="H181" s="143">
        <v>0</v>
      </c>
      <c r="I181" s="143">
        <v>8337.07</v>
      </c>
      <c r="J181" s="143">
        <f t="shared" si="11"/>
        <v>0</v>
      </c>
      <c r="K181" s="161"/>
      <c r="L181" s="152">
        <f>F181</f>
        <v>141730.19</v>
      </c>
      <c r="M181" s="151"/>
    </row>
    <row r="182" spans="1:13" ht="22.5">
      <c r="A182" s="161"/>
      <c r="B182" s="399"/>
      <c r="C182" s="161"/>
      <c r="D182" s="161"/>
      <c r="E182" s="161"/>
      <c r="F182" s="477">
        <f>SUM(F6:F181)</f>
        <v>29474654.409999989</v>
      </c>
      <c r="G182" s="161"/>
      <c r="H182" s="161"/>
      <c r="I182" s="161"/>
      <c r="J182" s="478">
        <f>SUM(J6:J181)</f>
        <v>32926512.369999997</v>
      </c>
      <c r="K182" s="141">
        <f>SUM(K6:K181)</f>
        <v>7623607.5384000018</v>
      </c>
      <c r="L182" s="141">
        <f>SUM(L6:L181)</f>
        <v>4425962.6553000007</v>
      </c>
      <c r="M182" s="161"/>
    </row>
    <row r="183" spans="1:13" ht="20.25">
      <c r="A183" s="161"/>
      <c r="B183" s="399" t="s">
        <v>378</v>
      </c>
      <c r="C183" s="161"/>
      <c r="D183" s="479"/>
      <c r="E183" s="480"/>
      <c r="F183" s="477">
        <v>4718892.1100000003</v>
      </c>
      <c r="G183" s="161"/>
      <c r="H183" s="161"/>
      <c r="I183" s="161"/>
      <c r="J183" s="477">
        <f>J182*16.01%</f>
        <v>5271534.6304370007</v>
      </c>
      <c r="K183" s="161"/>
      <c r="L183" s="161"/>
      <c r="M183" s="161"/>
    </row>
    <row r="184" spans="1:13" ht="20.25">
      <c r="A184" s="161"/>
      <c r="B184" s="399"/>
      <c r="C184" s="161"/>
      <c r="D184" s="481" t="s">
        <v>327</v>
      </c>
      <c r="E184" s="482"/>
      <c r="F184" s="477">
        <v>24755761.890000001</v>
      </c>
      <c r="G184" s="161"/>
      <c r="H184" s="161"/>
      <c r="I184" s="161"/>
      <c r="J184" s="477">
        <f>J182-J183</f>
        <v>27654977.739562996</v>
      </c>
      <c r="K184" s="475"/>
      <c r="L184" s="161"/>
      <c r="M184" s="161"/>
    </row>
    <row r="185" spans="1:13" ht="31.5">
      <c r="A185" s="483" t="s">
        <v>328</v>
      </c>
      <c r="B185" s="484"/>
      <c r="C185" s="484"/>
      <c r="D185" s="484"/>
      <c r="E185" s="484"/>
      <c r="F185" s="484"/>
      <c r="G185" s="484"/>
      <c r="H185" s="484"/>
      <c r="I185" s="484"/>
      <c r="J185" s="484"/>
      <c r="K185" s="484"/>
      <c r="L185" s="484"/>
      <c r="M185" s="485"/>
    </row>
    <row r="186" spans="1:13" ht="33" customHeight="1">
      <c r="A186" s="486" t="s">
        <v>812</v>
      </c>
      <c r="B186" s="487" t="s">
        <v>329</v>
      </c>
      <c r="C186" s="487"/>
      <c r="D186" s="487"/>
      <c r="E186" s="487"/>
      <c r="F186" s="488"/>
      <c r="G186" s="488"/>
      <c r="H186" s="488"/>
      <c r="I186" s="488"/>
      <c r="J186" s="488"/>
      <c r="K186" s="488"/>
      <c r="L186" s="488"/>
      <c r="M186" s="151"/>
    </row>
    <row r="187" spans="1:13" ht="173.25" customHeight="1">
      <c r="A187" s="169">
        <v>1</v>
      </c>
      <c r="B187" s="489" t="s">
        <v>203</v>
      </c>
      <c r="C187" s="490"/>
      <c r="D187" s="490"/>
      <c r="E187" s="491"/>
      <c r="F187" s="161"/>
      <c r="G187" s="161"/>
      <c r="H187" s="161"/>
      <c r="I187" s="161"/>
      <c r="J187" s="492"/>
      <c r="K187" s="161"/>
      <c r="L187" s="161"/>
      <c r="M187" s="151"/>
    </row>
    <row r="188" spans="1:13" ht="17.25" customHeight="1">
      <c r="A188" s="169" t="s">
        <v>208</v>
      </c>
      <c r="B188" s="407" t="s">
        <v>827</v>
      </c>
      <c r="C188" s="493"/>
      <c r="D188" s="493"/>
      <c r="E188" s="494"/>
      <c r="F188" s="151" t="s">
        <v>23</v>
      </c>
      <c r="G188" s="161"/>
      <c r="H188" s="143">
        <f>OHT!J224</f>
        <v>2</v>
      </c>
      <c r="I188" s="143">
        <f>'Supplimentary Data Details'!G12</f>
        <v>9444.522130060499</v>
      </c>
      <c r="J188" s="170">
        <f>ROUND((I188*H188),2)</f>
        <v>18889.04</v>
      </c>
      <c r="K188" s="161"/>
      <c r="L188" s="161"/>
      <c r="M188" s="151" t="s">
        <v>330</v>
      </c>
    </row>
    <row r="189" spans="1:13" ht="17.25">
      <c r="A189" s="169" t="s">
        <v>209</v>
      </c>
      <c r="B189" s="495" t="s">
        <v>825</v>
      </c>
      <c r="C189" s="496"/>
      <c r="D189" s="496"/>
      <c r="E189" s="497"/>
      <c r="F189" s="151" t="s">
        <v>23</v>
      </c>
      <c r="G189" s="161"/>
      <c r="H189" s="143">
        <f>OHT!G225</f>
        <v>1</v>
      </c>
      <c r="I189" s="143">
        <f>'Supplimentary Data Details'!G20</f>
        <v>19615.468888202249</v>
      </c>
      <c r="J189" s="170">
        <f>ROUND((I189*H189),2)</f>
        <v>19615.47</v>
      </c>
      <c r="K189" s="161"/>
      <c r="L189" s="161"/>
      <c r="M189" s="151" t="s">
        <v>330</v>
      </c>
    </row>
    <row r="190" spans="1:13" ht="17.25">
      <c r="A190" s="169" t="s">
        <v>210</v>
      </c>
      <c r="B190" s="408" t="s">
        <v>826</v>
      </c>
      <c r="C190" s="498"/>
      <c r="D190" s="498"/>
      <c r="E190" s="499"/>
      <c r="F190" s="151" t="s">
        <v>23</v>
      </c>
      <c r="G190" s="161"/>
      <c r="H190" s="143">
        <f>OHT!J226</f>
        <v>1</v>
      </c>
      <c r="I190" s="143">
        <f>'Supplimentary Data Details'!G28</f>
        <v>216673.93020405827</v>
      </c>
      <c r="J190" s="170">
        <f>ROUND((I190*H190),2)</f>
        <v>216673.93</v>
      </c>
      <c r="K190" s="161"/>
      <c r="L190" s="161"/>
      <c r="M190" s="151" t="s">
        <v>330</v>
      </c>
    </row>
    <row r="191" spans="1:13" ht="53.25" customHeight="1">
      <c r="A191" s="172">
        <v>2</v>
      </c>
      <c r="B191" s="489" t="s">
        <v>206</v>
      </c>
      <c r="C191" s="490"/>
      <c r="D191" s="490"/>
      <c r="E191" s="491"/>
      <c r="F191" s="161"/>
      <c r="G191" s="161"/>
      <c r="H191" s="161"/>
      <c r="I191" s="161"/>
      <c r="J191" s="492"/>
      <c r="K191" s="161"/>
      <c r="L191" s="161"/>
      <c r="M191" s="151"/>
    </row>
    <row r="192" spans="1:13" ht="15" customHeight="1">
      <c r="A192" s="169" t="s">
        <v>208</v>
      </c>
      <c r="B192" s="407" t="s">
        <v>827</v>
      </c>
      <c r="C192" s="493"/>
      <c r="D192" s="493"/>
      <c r="E192" s="494"/>
      <c r="F192" s="151" t="s">
        <v>23</v>
      </c>
      <c r="G192" s="161"/>
      <c r="H192" s="143">
        <v>2</v>
      </c>
      <c r="I192" s="143">
        <f>'Supplimentary Data Details'!G36</f>
        <v>86.987643486591494</v>
      </c>
      <c r="J192" s="170">
        <f>ROUND((I192*H192),2)</f>
        <v>173.98</v>
      </c>
      <c r="K192" s="161"/>
      <c r="L192" s="161"/>
      <c r="M192" s="151" t="s">
        <v>330</v>
      </c>
    </row>
    <row r="193" spans="1:15" ht="17.25">
      <c r="A193" s="169" t="s">
        <v>209</v>
      </c>
      <c r="B193" s="495" t="s">
        <v>825</v>
      </c>
      <c r="C193" s="496"/>
      <c r="D193" s="496"/>
      <c r="E193" s="497"/>
      <c r="F193" s="151" t="s">
        <v>23</v>
      </c>
      <c r="G193" s="161"/>
      <c r="H193" s="143">
        <f>OHT!J229</f>
        <v>1</v>
      </c>
      <c r="I193" s="143">
        <f>'Supplimentary Data Details'!G43</f>
        <v>195.77737748899347</v>
      </c>
      <c r="J193" s="170">
        <f>ROUND((I193*H193),2)</f>
        <v>195.78</v>
      </c>
      <c r="K193" s="161"/>
      <c r="L193" s="161"/>
      <c r="M193" s="151" t="s">
        <v>330</v>
      </c>
    </row>
    <row r="194" spans="1:15" ht="17.25">
      <c r="A194" s="172" t="s">
        <v>210</v>
      </c>
      <c r="B194" s="408" t="s">
        <v>826</v>
      </c>
      <c r="C194" s="498"/>
      <c r="D194" s="498"/>
      <c r="E194" s="499"/>
      <c r="F194" s="151" t="s">
        <v>23</v>
      </c>
      <c r="G194" s="161"/>
      <c r="H194" s="143">
        <f>OHT!J230</f>
        <v>1</v>
      </c>
      <c r="I194" s="143">
        <f>'Supplimentary Data Details'!G50</f>
        <v>653.47413260324686</v>
      </c>
      <c r="J194" s="170">
        <f>ROUND((I194*H194),2)</f>
        <v>653.47</v>
      </c>
      <c r="K194" s="161"/>
      <c r="L194" s="161"/>
      <c r="M194" s="151" t="s">
        <v>330</v>
      </c>
    </row>
    <row r="195" spans="1:15" ht="88.5" customHeight="1">
      <c r="A195" s="172">
        <v>3</v>
      </c>
      <c r="B195" s="489" t="s">
        <v>207</v>
      </c>
      <c r="C195" s="490"/>
      <c r="D195" s="490"/>
      <c r="E195" s="491"/>
      <c r="F195" s="161"/>
      <c r="G195" s="161"/>
      <c r="H195" s="161"/>
      <c r="I195" s="161"/>
      <c r="J195" s="492"/>
      <c r="K195" s="161"/>
      <c r="L195" s="161"/>
      <c r="M195" s="151"/>
    </row>
    <row r="196" spans="1:15" ht="15" customHeight="1">
      <c r="A196" s="169" t="s">
        <v>208</v>
      </c>
      <c r="B196" s="407" t="s">
        <v>827</v>
      </c>
      <c r="C196" s="493"/>
      <c r="D196" s="493"/>
      <c r="E196" s="494"/>
      <c r="F196" s="151" t="s">
        <v>23</v>
      </c>
      <c r="G196" s="161"/>
      <c r="H196" s="143">
        <f>OHT!J232</f>
        <v>2</v>
      </c>
      <c r="I196" s="152">
        <f>'Supplimentary Data Details'!G72</f>
        <v>119.74209418231064</v>
      </c>
      <c r="J196" s="170">
        <f>ROUND((I196*H196),2)</f>
        <v>239.48</v>
      </c>
      <c r="K196" s="161"/>
      <c r="L196" s="161"/>
      <c r="M196" s="151" t="s">
        <v>330</v>
      </c>
    </row>
    <row r="197" spans="1:15" ht="17.25">
      <c r="A197" s="169" t="s">
        <v>209</v>
      </c>
      <c r="B197" s="495" t="s">
        <v>825</v>
      </c>
      <c r="C197" s="496"/>
      <c r="D197" s="496"/>
      <c r="E197" s="497"/>
      <c r="F197" s="151" t="s">
        <v>23</v>
      </c>
      <c r="G197" s="161"/>
      <c r="H197" s="143">
        <f>OHT!J233</f>
        <v>1</v>
      </c>
      <c r="I197" s="143">
        <f>'Supplimentary Data Details'!G92</f>
        <v>278.04817529283963</v>
      </c>
      <c r="J197" s="170">
        <f>ROUND((I197*H197),2)</f>
        <v>278.05</v>
      </c>
      <c r="K197" s="161"/>
      <c r="L197" s="161"/>
      <c r="M197" s="151" t="s">
        <v>330</v>
      </c>
    </row>
    <row r="198" spans="1:15" ht="17.25">
      <c r="A198" s="172" t="s">
        <v>210</v>
      </c>
      <c r="B198" s="408" t="s">
        <v>826</v>
      </c>
      <c r="C198" s="498"/>
      <c r="D198" s="498"/>
      <c r="E198" s="499"/>
      <c r="F198" s="151" t="s">
        <v>23</v>
      </c>
      <c r="G198" s="161"/>
      <c r="H198" s="143">
        <f>OHT!J234</f>
        <v>1</v>
      </c>
      <c r="I198" s="143">
        <f>'Supplimentary Data Details'!G112</f>
        <v>486.78529736387537</v>
      </c>
      <c r="J198" s="170">
        <f>ROUND((I198*H198),2)</f>
        <v>486.79</v>
      </c>
      <c r="K198" s="161"/>
      <c r="L198" s="161"/>
      <c r="M198" s="151" t="s">
        <v>330</v>
      </c>
    </row>
    <row r="199" spans="1:15" ht="74.25" customHeight="1">
      <c r="A199" s="169">
        <v>4</v>
      </c>
      <c r="B199" s="367" t="s">
        <v>27</v>
      </c>
      <c r="C199" s="368"/>
      <c r="D199" s="368"/>
      <c r="E199" s="369"/>
      <c r="F199" s="161"/>
      <c r="G199" s="161"/>
      <c r="H199" s="161"/>
      <c r="I199" s="161"/>
      <c r="J199" s="492"/>
      <c r="K199" s="500" t="s">
        <v>373</v>
      </c>
      <c r="L199" s="161"/>
      <c r="M199" s="151"/>
    </row>
    <row r="200" spans="1:15" ht="18.75" customHeight="1">
      <c r="A200" s="169" t="s">
        <v>14</v>
      </c>
      <c r="B200" s="274" t="s">
        <v>402</v>
      </c>
      <c r="C200" s="275"/>
      <c r="D200" s="275"/>
      <c r="E200" s="276"/>
      <c r="F200" s="161"/>
      <c r="G200" s="161"/>
      <c r="H200" s="161"/>
      <c r="I200" s="161"/>
      <c r="J200" s="492"/>
      <c r="K200" s="500"/>
      <c r="L200" s="161"/>
      <c r="M200" s="151" t="s">
        <v>330</v>
      </c>
    </row>
    <row r="201" spans="1:15" ht="17.25">
      <c r="A201" s="169" t="s">
        <v>208</v>
      </c>
      <c r="B201" s="495" t="s">
        <v>358</v>
      </c>
      <c r="C201" s="496"/>
      <c r="D201" s="496"/>
      <c r="E201" s="497"/>
      <c r="F201" s="141" t="s">
        <v>23</v>
      </c>
      <c r="G201" s="147"/>
      <c r="H201" s="143">
        <v>4</v>
      </c>
      <c r="I201" s="143">
        <f>'Supplimentary Data Details'!G121</f>
        <v>8427.5276507467497</v>
      </c>
      <c r="J201" s="170">
        <f>ROUND((I201*H201),2)</f>
        <v>33710.11</v>
      </c>
      <c r="K201" s="161"/>
      <c r="L201" s="161"/>
      <c r="M201" s="151"/>
    </row>
    <row r="202" spans="1:15" ht="17.25">
      <c r="A202" s="169" t="s">
        <v>209</v>
      </c>
      <c r="B202" s="495" t="s">
        <v>359</v>
      </c>
      <c r="C202" s="496"/>
      <c r="D202" s="496"/>
      <c r="E202" s="497"/>
      <c r="F202" s="141" t="s">
        <v>23</v>
      </c>
      <c r="G202" s="147"/>
      <c r="H202" s="143">
        <v>9</v>
      </c>
      <c r="I202" s="143">
        <f>'Supplimentary Data Details'!G128</f>
        <v>11316.192757999501</v>
      </c>
      <c r="J202" s="170">
        <f>ROUND((I202*H202),2)</f>
        <v>101845.73</v>
      </c>
      <c r="K202" s="161"/>
      <c r="L202" s="161"/>
      <c r="M202" s="151"/>
    </row>
    <row r="203" spans="1:15" ht="17.25">
      <c r="A203" s="169" t="s">
        <v>208</v>
      </c>
      <c r="B203" s="495" t="s">
        <v>233</v>
      </c>
      <c r="C203" s="496"/>
      <c r="D203" s="496"/>
      <c r="E203" s="497"/>
      <c r="F203" s="141" t="s">
        <v>23</v>
      </c>
      <c r="G203" s="147"/>
      <c r="H203" s="143">
        <v>4</v>
      </c>
      <c r="I203" s="143">
        <f>'Supplimentary Data Details'!G121</f>
        <v>8427.5276507467497</v>
      </c>
      <c r="J203" s="170">
        <f t="shared" ref="J203:J218" si="12">ROUND((I203*H203),2)</f>
        <v>33710.11</v>
      </c>
      <c r="K203" s="161"/>
      <c r="L203" s="161"/>
      <c r="M203" s="151"/>
    </row>
    <row r="204" spans="1:15" ht="17.25">
      <c r="A204" s="169" t="s">
        <v>209</v>
      </c>
      <c r="B204" s="495" t="s">
        <v>234</v>
      </c>
      <c r="C204" s="496"/>
      <c r="D204" s="496"/>
      <c r="E204" s="497"/>
      <c r="F204" s="141" t="s">
        <v>23</v>
      </c>
      <c r="G204" s="147"/>
      <c r="H204" s="143">
        <v>9</v>
      </c>
      <c r="I204" s="143">
        <f>'Supplimentary Data Details'!G128</f>
        <v>11316.192757999501</v>
      </c>
      <c r="J204" s="170">
        <f t="shared" si="12"/>
        <v>101845.73</v>
      </c>
      <c r="K204" s="161"/>
      <c r="L204" s="161"/>
      <c r="M204" s="151"/>
    </row>
    <row r="205" spans="1:15" ht="17.25">
      <c r="A205" s="169" t="s">
        <v>208</v>
      </c>
      <c r="B205" s="495" t="s">
        <v>340</v>
      </c>
      <c r="C205" s="496"/>
      <c r="D205" s="496"/>
      <c r="E205" s="497"/>
      <c r="F205" s="141" t="s">
        <v>23</v>
      </c>
      <c r="G205" s="147"/>
      <c r="H205" s="143">
        <v>5</v>
      </c>
      <c r="I205" s="143">
        <f>'Supplimentary Data Details'!G121</f>
        <v>8427.5276507467497</v>
      </c>
      <c r="J205" s="170">
        <f t="shared" si="12"/>
        <v>42137.64</v>
      </c>
      <c r="K205" s="161"/>
      <c r="L205" s="161"/>
      <c r="M205" s="151"/>
      <c r="O205" s="391">
        <f>22+36.27</f>
        <v>58.27</v>
      </c>
    </row>
    <row r="206" spans="1:15" ht="18" customHeight="1">
      <c r="A206" s="169" t="s">
        <v>209</v>
      </c>
      <c r="B206" s="495" t="s">
        <v>360</v>
      </c>
      <c r="C206" s="496"/>
      <c r="D206" s="496"/>
      <c r="E206" s="497"/>
      <c r="F206" s="141" t="s">
        <v>23</v>
      </c>
      <c r="G206" s="147"/>
      <c r="H206" s="143">
        <v>9</v>
      </c>
      <c r="I206" s="143">
        <f>'Supplimentary Data Details'!G128</f>
        <v>11316.192757999501</v>
      </c>
      <c r="J206" s="170">
        <f t="shared" si="12"/>
        <v>101845.73</v>
      </c>
      <c r="K206" s="161"/>
      <c r="L206" s="161"/>
      <c r="M206" s="151"/>
      <c r="O206" s="391">
        <f>29.02</f>
        <v>29.02</v>
      </c>
    </row>
    <row r="207" spans="1:15" ht="17.25">
      <c r="A207" s="169" t="s">
        <v>211</v>
      </c>
      <c r="B207" s="495" t="s">
        <v>361</v>
      </c>
      <c r="C207" s="496"/>
      <c r="D207" s="496"/>
      <c r="E207" s="497"/>
      <c r="F207" s="141" t="s">
        <v>23</v>
      </c>
      <c r="G207" s="147"/>
      <c r="H207" s="143">
        <v>5</v>
      </c>
      <c r="I207" s="143">
        <f>'Supplimentary Data Details'!G142</f>
        <v>4854.5204455912499</v>
      </c>
      <c r="J207" s="170">
        <f>ROUND((I207*H207),2)</f>
        <v>24272.6</v>
      </c>
      <c r="K207" s="161"/>
      <c r="L207" s="161"/>
      <c r="M207" s="151"/>
    </row>
    <row r="208" spans="1:15" ht="17.25">
      <c r="A208" s="169" t="s">
        <v>212</v>
      </c>
      <c r="B208" s="495" t="s">
        <v>362</v>
      </c>
      <c r="C208" s="496"/>
      <c r="D208" s="496"/>
      <c r="E208" s="497"/>
      <c r="F208" s="141" t="s">
        <v>23</v>
      </c>
      <c r="G208" s="147"/>
      <c r="H208" s="143">
        <v>8</v>
      </c>
      <c r="I208" s="143">
        <f>'Supplimentary Data Details'!G149</f>
        <v>6437.6251523062501</v>
      </c>
      <c r="J208" s="170">
        <f>ROUND((I208*H208),2)</f>
        <v>51501</v>
      </c>
      <c r="K208" s="161"/>
      <c r="L208" s="161"/>
      <c r="M208" s="151"/>
    </row>
    <row r="209" spans="1:13" ht="15.75" customHeight="1">
      <c r="A209" s="169" t="s">
        <v>4</v>
      </c>
      <c r="B209" s="274" t="s">
        <v>403</v>
      </c>
      <c r="C209" s="275"/>
      <c r="D209" s="275"/>
      <c r="E209" s="276"/>
      <c r="F209" s="141"/>
      <c r="G209" s="147"/>
      <c r="H209" s="143"/>
      <c r="I209" s="141"/>
      <c r="J209" s="170"/>
      <c r="K209" s="161"/>
      <c r="L209" s="161"/>
      <c r="M209" s="151" t="s">
        <v>330</v>
      </c>
    </row>
    <row r="210" spans="1:13" ht="17.25">
      <c r="A210" s="169" t="s">
        <v>208</v>
      </c>
      <c r="B210" s="495" t="s">
        <v>358</v>
      </c>
      <c r="C210" s="496"/>
      <c r="D210" s="496"/>
      <c r="E210" s="497"/>
      <c r="F210" s="141" t="s">
        <v>23</v>
      </c>
      <c r="G210" s="147"/>
      <c r="H210" s="143">
        <v>4</v>
      </c>
      <c r="I210" s="143">
        <f>'Supplimentary Data Details'!G121</f>
        <v>8427.5276507467497</v>
      </c>
      <c r="J210" s="170">
        <f>ROUND((I210*H210),2)</f>
        <v>33710.11</v>
      </c>
      <c r="K210" s="161"/>
      <c r="L210" s="161"/>
      <c r="M210" s="151"/>
    </row>
    <row r="211" spans="1:13" ht="17.25">
      <c r="A211" s="169" t="s">
        <v>209</v>
      </c>
      <c r="B211" s="495" t="s">
        <v>359</v>
      </c>
      <c r="C211" s="496"/>
      <c r="D211" s="496"/>
      <c r="E211" s="497"/>
      <c r="F211" s="141" t="s">
        <v>23</v>
      </c>
      <c r="G211" s="147"/>
      <c r="H211" s="143">
        <v>3</v>
      </c>
      <c r="I211" s="143">
        <f>'Supplimentary Data Details'!G128</f>
        <v>11316.192757999501</v>
      </c>
      <c r="J211" s="170">
        <f>ROUND((I211*H211),2)</f>
        <v>33948.58</v>
      </c>
      <c r="K211" s="161"/>
      <c r="L211" s="161"/>
      <c r="M211" s="151"/>
    </row>
    <row r="212" spans="1:13" ht="17.25">
      <c r="A212" s="169" t="s">
        <v>209</v>
      </c>
      <c r="B212" s="495" t="s">
        <v>404</v>
      </c>
      <c r="C212" s="496"/>
      <c r="D212" s="496"/>
      <c r="E212" s="497"/>
      <c r="F212" s="141" t="s">
        <v>23</v>
      </c>
      <c r="G212" s="147"/>
      <c r="H212" s="143">
        <v>2</v>
      </c>
      <c r="I212" s="143">
        <f>'Supplimentary Data Details'!G128</f>
        <v>11316.192757999501</v>
      </c>
      <c r="J212" s="170">
        <f>ROUND((I212*H212),2)</f>
        <v>22632.39</v>
      </c>
      <c r="K212" s="161"/>
      <c r="L212" s="161"/>
      <c r="M212" s="151"/>
    </row>
    <row r="213" spans="1:13" ht="17.25">
      <c r="A213" s="169" t="s">
        <v>210</v>
      </c>
      <c r="B213" s="408" t="s">
        <v>405</v>
      </c>
      <c r="C213" s="227"/>
      <c r="D213" s="227"/>
      <c r="E213" s="228"/>
      <c r="F213" s="141" t="s">
        <v>23</v>
      </c>
      <c r="G213" s="147"/>
      <c r="H213" s="143">
        <v>4</v>
      </c>
      <c r="I213" s="143">
        <f>'Supplimentary Data Details'!G135</f>
        <v>16190.752503675752</v>
      </c>
      <c r="J213" s="170">
        <f>ROUND((I213*H213),2)</f>
        <v>64763.01</v>
      </c>
      <c r="K213" s="161"/>
      <c r="L213" s="161"/>
      <c r="M213" s="151"/>
    </row>
    <row r="214" spans="1:13" ht="66" customHeight="1">
      <c r="A214" s="169">
        <v>5</v>
      </c>
      <c r="B214" s="314" t="s">
        <v>30</v>
      </c>
      <c r="C214" s="315"/>
      <c r="D214" s="315"/>
      <c r="E214" s="316"/>
      <c r="F214" s="161"/>
      <c r="G214" s="161"/>
      <c r="H214" s="161"/>
      <c r="I214" s="161"/>
      <c r="J214" s="492"/>
      <c r="K214" s="161"/>
      <c r="L214" s="161"/>
      <c r="M214" s="151"/>
    </row>
    <row r="215" spans="1:13" s="506" customFormat="1" ht="18" customHeight="1">
      <c r="A215" s="200" t="s">
        <v>208</v>
      </c>
      <c r="B215" s="501" t="s">
        <v>406</v>
      </c>
      <c r="C215" s="502"/>
      <c r="D215" s="502"/>
      <c r="E215" s="503"/>
      <c r="F215" s="504" t="s">
        <v>134</v>
      </c>
      <c r="G215" s="505"/>
      <c r="H215" s="201">
        <f>OHT!G263</f>
        <v>520</v>
      </c>
      <c r="I215" s="201">
        <f>'Supplimentary Data Details'!G159</f>
        <v>105.20632544624999</v>
      </c>
      <c r="J215" s="202">
        <f>ROUND((I215*H215),2)</f>
        <v>54707.29</v>
      </c>
      <c r="K215" s="505"/>
      <c r="L215" s="505"/>
      <c r="M215" s="151" t="s">
        <v>330</v>
      </c>
    </row>
    <row r="216" spans="1:13" ht="18.75" customHeight="1">
      <c r="A216" s="169" t="s">
        <v>208</v>
      </c>
      <c r="B216" s="414" t="s">
        <v>407</v>
      </c>
      <c r="C216" s="415"/>
      <c r="D216" s="415"/>
      <c r="E216" s="416"/>
      <c r="F216" s="141" t="s">
        <v>134</v>
      </c>
      <c r="G216" s="161"/>
      <c r="H216" s="143">
        <f>OHT!G274</f>
        <v>487</v>
      </c>
      <c r="I216" s="143">
        <f>'Supplimentary Data Details'!G159</f>
        <v>105.20632544624999</v>
      </c>
      <c r="J216" s="170">
        <f t="shared" si="12"/>
        <v>51235.48</v>
      </c>
      <c r="K216" s="161"/>
      <c r="L216" s="161"/>
      <c r="M216" s="151" t="s">
        <v>330</v>
      </c>
    </row>
    <row r="217" spans="1:13" ht="188.25" customHeight="1">
      <c r="A217" s="169">
        <v>6</v>
      </c>
      <c r="B217" s="507" t="str">
        <f>'[1]FINAL OHT abs '!$B$7</f>
        <v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including centering &amp; shuttering using steel scaffolding pipes, jack props, wallers, foot plates, brackets, steel centering plates weigh batcher etc machine mixing, laying concrete, vibrating, finishing smooth to required levels, curing, pumping to work spot, lifting of material with  mechanical equipment like winch, etc., all other incidental and operational charges, all labour charges, etc.,  but excluding cost of steel and its fabrication charges etc., complete as directed by Engineer-in-Charge for the following finished items of work,  excluding GST &amp; seigniorage charges.  </v>
      </c>
      <c r="C217" s="508"/>
      <c r="D217" s="508"/>
      <c r="E217" s="509"/>
      <c r="F217" s="510"/>
      <c r="G217" s="510"/>
      <c r="H217" s="510"/>
      <c r="I217" s="510"/>
      <c r="J217" s="510"/>
      <c r="K217" s="511"/>
      <c r="L217" s="511"/>
      <c r="M217" s="151"/>
    </row>
    <row r="218" spans="1:13" ht="17.25">
      <c r="A218" s="169" t="s">
        <v>208</v>
      </c>
      <c r="B218" s="512" t="s">
        <v>380</v>
      </c>
      <c r="C218" s="513"/>
      <c r="D218" s="513"/>
      <c r="E218" s="514"/>
      <c r="F218" s="515" t="s">
        <v>49</v>
      </c>
      <c r="G218" s="516"/>
      <c r="H218" s="175">
        <v>1</v>
      </c>
      <c r="I218" s="175">
        <f>'Panal Board data'!G69</f>
        <v>7000.6136596873257</v>
      </c>
      <c r="J218" s="388">
        <f t="shared" si="12"/>
        <v>7000.61</v>
      </c>
      <c r="K218" s="511"/>
      <c r="L218" s="511"/>
      <c r="M218" s="151" t="s">
        <v>330</v>
      </c>
    </row>
    <row r="219" spans="1:13" ht="17.25">
      <c r="A219" s="169" t="s">
        <v>209</v>
      </c>
      <c r="B219" s="512" t="s">
        <v>379</v>
      </c>
      <c r="C219" s="513"/>
      <c r="D219" s="513"/>
      <c r="E219" s="514"/>
      <c r="F219" s="515" t="s">
        <v>49</v>
      </c>
      <c r="G219" s="516"/>
      <c r="H219" s="175">
        <v>1</v>
      </c>
      <c r="I219" s="175">
        <f>'Panal Board data'!G69</f>
        <v>7000.6136596873257</v>
      </c>
      <c r="J219" s="388">
        <f>ROUND((I219*H219),2)</f>
        <v>7000.61</v>
      </c>
      <c r="K219" s="511"/>
      <c r="L219" s="511"/>
      <c r="M219" s="151" t="s">
        <v>330</v>
      </c>
    </row>
    <row r="220" spans="1:13" ht="17.25">
      <c r="A220" s="169" t="s">
        <v>210</v>
      </c>
      <c r="B220" s="409" t="s">
        <v>897</v>
      </c>
      <c r="C220" s="517"/>
      <c r="D220" s="517"/>
      <c r="E220" s="518"/>
      <c r="F220" s="515" t="s">
        <v>49</v>
      </c>
      <c r="G220" s="516"/>
      <c r="H220" s="175">
        <v>3</v>
      </c>
      <c r="I220" s="175">
        <f>'Supplimentary Data Details'!G184</f>
        <v>7000.6136596873257</v>
      </c>
      <c r="J220" s="388">
        <f>ROUND((I220*H220),2)</f>
        <v>21001.84</v>
      </c>
      <c r="K220" s="511"/>
      <c r="L220" s="511"/>
      <c r="M220" s="151" t="s">
        <v>330</v>
      </c>
    </row>
    <row r="221" spans="1:13" ht="83.25" customHeight="1">
      <c r="A221" s="169">
        <v>7</v>
      </c>
      <c r="B221" s="258" t="s">
        <v>331</v>
      </c>
      <c r="C221" s="259"/>
      <c r="D221" s="259"/>
      <c r="E221" s="260"/>
      <c r="F221" s="161"/>
      <c r="G221" s="161"/>
      <c r="H221" s="161"/>
      <c r="I221" s="161"/>
      <c r="J221" s="492"/>
      <c r="K221" s="161"/>
      <c r="L221" s="161"/>
      <c r="M221" s="151"/>
    </row>
    <row r="222" spans="1:13" ht="17.25">
      <c r="A222" s="169" t="s">
        <v>208</v>
      </c>
      <c r="B222" s="258" t="s">
        <v>408</v>
      </c>
      <c r="C222" s="259"/>
      <c r="D222" s="259"/>
      <c r="E222" s="260"/>
      <c r="F222" s="151" t="s">
        <v>332</v>
      </c>
      <c r="G222" s="161"/>
      <c r="H222" s="143">
        <v>1</v>
      </c>
      <c r="I222" s="150">
        <f>'Supplimentary Data Details'!G188</f>
        <v>27339.164949999998</v>
      </c>
      <c r="J222" s="170">
        <f>ROUND((I222*H222),2)</f>
        <v>27339.16</v>
      </c>
      <c r="K222" s="161"/>
      <c r="L222" s="161"/>
      <c r="M222" s="151" t="s">
        <v>330</v>
      </c>
    </row>
    <row r="223" spans="1:13" ht="17.25">
      <c r="A223" s="169" t="s">
        <v>209</v>
      </c>
      <c r="B223" s="258" t="s">
        <v>409</v>
      </c>
      <c r="C223" s="259"/>
      <c r="D223" s="259"/>
      <c r="E223" s="260"/>
      <c r="F223" s="151" t="s">
        <v>332</v>
      </c>
      <c r="G223" s="161"/>
      <c r="H223" s="143">
        <v>1</v>
      </c>
      <c r="I223" s="150">
        <f>'Supplimentary Data Details'!G191</f>
        <v>27339.164949999998</v>
      </c>
      <c r="J223" s="170">
        <f>ROUND((I223*H223),2)</f>
        <v>27339.16</v>
      </c>
      <c r="K223" s="161"/>
      <c r="L223" s="161"/>
      <c r="M223" s="151" t="s">
        <v>330</v>
      </c>
    </row>
    <row r="224" spans="1:13" ht="112.5" customHeight="1">
      <c r="A224" s="169">
        <v>8</v>
      </c>
      <c r="B224" s="258" t="s">
        <v>333</v>
      </c>
      <c r="C224" s="259"/>
      <c r="D224" s="259"/>
      <c r="E224" s="260"/>
      <c r="F224" s="161"/>
      <c r="G224" s="161"/>
      <c r="H224" s="161"/>
      <c r="I224" s="161"/>
      <c r="J224" s="161"/>
      <c r="K224" s="161"/>
      <c r="L224" s="161"/>
      <c r="M224" s="151"/>
    </row>
    <row r="225" spans="1:13" ht="20.25" customHeight="1">
      <c r="A225" s="169" t="s">
        <v>208</v>
      </c>
      <c r="B225" s="258" t="s">
        <v>408</v>
      </c>
      <c r="C225" s="259"/>
      <c r="D225" s="259"/>
      <c r="E225" s="260"/>
      <c r="F225" s="151" t="s">
        <v>23</v>
      </c>
      <c r="G225" s="161"/>
      <c r="H225" s="143">
        <v>1</v>
      </c>
      <c r="I225" s="150">
        <f>'Supplimentary Data Details'!G195</f>
        <v>25932.332450000002</v>
      </c>
      <c r="J225" s="170">
        <f>ROUND((I225*H225),2)</f>
        <v>25932.33</v>
      </c>
      <c r="K225" s="161"/>
      <c r="L225" s="161"/>
      <c r="M225" s="151" t="s">
        <v>330</v>
      </c>
    </row>
    <row r="226" spans="1:13" ht="20.25" customHeight="1">
      <c r="A226" s="169" t="s">
        <v>209</v>
      </c>
      <c r="B226" s="258" t="s">
        <v>409</v>
      </c>
      <c r="C226" s="259"/>
      <c r="D226" s="259"/>
      <c r="E226" s="260"/>
      <c r="F226" s="151" t="s">
        <v>23</v>
      </c>
      <c r="G226" s="161"/>
      <c r="H226" s="143">
        <v>1</v>
      </c>
      <c r="I226" s="150">
        <f>'Supplimentary Data Details'!G198</f>
        <v>24922.772649999999</v>
      </c>
      <c r="J226" s="170">
        <f>ROUND((I226*H226),2)</f>
        <v>24922.77</v>
      </c>
      <c r="K226" s="161"/>
      <c r="L226" s="161"/>
      <c r="M226" s="151" t="s">
        <v>330</v>
      </c>
    </row>
    <row r="227" spans="1:13" ht="128.25" customHeight="1">
      <c r="A227" s="176">
        <v>9</v>
      </c>
      <c r="B227" s="258" t="s">
        <v>334</v>
      </c>
      <c r="C227" s="259"/>
      <c r="D227" s="259"/>
      <c r="E227" s="260"/>
      <c r="F227" s="151"/>
      <c r="G227" s="161"/>
      <c r="H227" s="143"/>
      <c r="I227" s="150"/>
      <c r="J227" s="170"/>
      <c r="K227" s="161"/>
      <c r="L227" s="161"/>
      <c r="M227" s="151"/>
    </row>
    <row r="228" spans="1:13" ht="17.25">
      <c r="A228" s="177" t="s">
        <v>208</v>
      </c>
      <c r="B228" s="402" t="s">
        <v>402</v>
      </c>
      <c r="C228" s="225"/>
      <c r="D228" s="225"/>
      <c r="E228" s="226"/>
      <c r="F228" s="151" t="s">
        <v>40</v>
      </c>
      <c r="G228" s="161"/>
      <c r="H228" s="143">
        <v>100</v>
      </c>
      <c r="I228" s="150">
        <f>'Supplimentary Data Details'!G202</f>
        <v>2774.8196250000001</v>
      </c>
      <c r="J228" s="170">
        <f t="shared" ref="J228:J230" si="13">ROUND((I228*H228),2)</f>
        <v>277481.96000000002</v>
      </c>
      <c r="K228" s="161"/>
      <c r="L228" s="161"/>
      <c r="M228" s="151" t="s">
        <v>330</v>
      </c>
    </row>
    <row r="229" spans="1:13" ht="17.25">
      <c r="A229" s="177" t="s">
        <v>209</v>
      </c>
      <c r="B229" s="264" t="s">
        <v>403</v>
      </c>
      <c r="C229" s="265"/>
      <c r="D229" s="265"/>
      <c r="E229" s="266"/>
      <c r="F229" s="151" t="s">
        <v>40</v>
      </c>
      <c r="G229" s="161"/>
      <c r="H229" s="143">
        <v>45</v>
      </c>
      <c r="I229" s="150">
        <f>'Supplimentary Data Details'!G205</f>
        <v>2774.8196250000001</v>
      </c>
      <c r="J229" s="170">
        <f t="shared" si="13"/>
        <v>124866.88</v>
      </c>
      <c r="K229" s="161"/>
      <c r="L229" s="161"/>
      <c r="M229" s="151" t="s">
        <v>330</v>
      </c>
    </row>
    <row r="230" spans="1:13" ht="17.25">
      <c r="A230" s="177" t="s">
        <v>210</v>
      </c>
      <c r="B230" s="258" t="s">
        <v>335</v>
      </c>
      <c r="C230" s="259"/>
      <c r="D230" s="259"/>
      <c r="E230" s="260"/>
      <c r="F230" s="151" t="s">
        <v>40</v>
      </c>
      <c r="G230" s="161"/>
      <c r="H230" s="143">
        <v>135</v>
      </c>
      <c r="I230" s="150">
        <f>'Supplimentary Data Details'!G208</f>
        <v>2774.8196250000001</v>
      </c>
      <c r="J230" s="170">
        <f t="shared" si="13"/>
        <v>374600.65</v>
      </c>
      <c r="K230" s="161"/>
      <c r="L230" s="161"/>
      <c r="M230" s="151" t="s">
        <v>330</v>
      </c>
    </row>
    <row r="231" spans="1:13" ht="17.25">
      <c r="A231" s="178"/>
      <c r="B231" s="402"/>
      <c r="C231" s="179"/>
      <c r="D231" s="180"/>
      <c r="E231" s="181"/>
      <c r="F231" s="143"/>
      <c r="G231" s="161"/>
      <c r="H231" s="143"/>
      <c r="I231" s="143"/>
      <c r="J231" s="170"/>
      <c r="K231" s="147"/>
      <c r="L231" s="147"/>
      <c r="M231" s="584"/>
    </row>
    <row r="232" spans="1:13" ht="17.25">
      <c r="A232" s="389"/>
      <c r="B232" s="519" t="s">
        <v>336</v>
      </c>
      <c r="C232" s="520"/>
      <c r="D232" s="520"/>
      <c r="E232" s="521"/>
      <c r="F232" s="161"/>
      <c r="G232" s="161"/>
      <c r="H232" s="161"/>
      <c r="I232" s="161"/>
      <c r="J232" s="492"/>
      <c r="K232" s="161"/>
      <c r="L232" s="161"/>
      <c r="M232" s="151"/>
    </row>
    <row r="233" spans="1:13" ht="51" customHeight="1">
      <c r="A233" s="417">
        <v>10</v>
      </c>
      <c r="B233" s="331" t="s">
        <v>182</v>
      </c>
      <c r="C233" s="331"/>
      <c r="D233" s="331"/>
      <c r="E233" s="331"/>
      <c r="F233" s="161"/>
      <c r="G233" s="161"/>
      <c r="H233" s="161"/>
      <c r="I233" s="161"/>
      <c r="J233" s="492"/>
      <c r="K233" s="161"/>
      <c r="L233" s="161"/>
      <c r="M233" s="151"/>
    </row>
    <row r="234" spans="1:13" ht="17.25">
      <c r="A234" s="417" t="s">
        <v>208</v>
      </c>
      <c r="B234" s="522" t="s">
        <v>822</v>
      </c>
      <c r="C234" s="523"/>
      <c r="D234" s="523"/>
      <c r="E234" s="524"/>
      <c r="F234" s="151" t="s">
        <v>40</v>
      </c>
      <c r="G234" s="161"/>
      <c r="H234" s="152">
        <f>GLSR!G24</f>
        <v>30</v>
      </c>
      <c r="I234" s="152">
        <f>'Supplimentary Data Details'!G218</f>
        <v>2245.4035745242504</v>
      </c>
      <c r="J234" s="170">
        <f t="shared" ref="J234:J237" si="14">ROUND((I234*H234),2)</f>
        <v>67362.11</v>
      </c>
      <c r="K234" s="161"/>
      <c r="L234" s="161"/>
      <c r="M234" s="151" t="s">
        <v>330</v>
      </c>
    </row>
    <row r="235" spans="1:13" ht="17.25">
      <c r="A235" s="417" t="s">
        <v>209</v>
      </c>
      <c r="B235" s="522" t="s">
        <v>823</v>
      </c>
      <c r="C235" s="523"/>
      <c r="D235" s="523"/>
      <c r="E235" s="524"/>
      <c r="F235" s="151" t="s">
        <v>40</v>
      </c>
      <c r="G235" s="161"/>
      <c r="H235" s="152">
        <f>GLSR!G25</f>
        <v>5</v>
      </c>
      <c r="I235" s="152">
        <f>'Supplimentary Data Details'!G226</f>
        <v>3506.8775148749996</v>
      </c>
      <c r="J235" s="170">
        <f t="shared" si="14"/>
        <v>17534.39</v>
      </c>
      <c r="K235" s="161"/>
      <c r="L235" s="161"/>
      <c r="M235" s="151" t="s">
        <v>330</v>
      </c>
    </row>
    <row r="236" spans="1:13" ht="50.25" customHeight="1">
      <c r="A236" s="417">
        <v>11</v>
      </c>
      <c r="B236" s="317" t="s">
        <v>182</v>
      </c>
      <c r="C236" s="318"/>
      <c r="D236" s="318"/>
      <c r="E236" s="318"/>
      <c r="F236" s="164"/>
      <c r="G236" s="164"/>
      <c r="H236" s="164"/>
      <c r="I236" s="164"/>
      <c r="J236" s="164"/>
      <c r="K236" s="161"/>
      <c r="L236" s="161"/>
      <c r="M236" s="151"/>
    </row>
    <row r="237" spans="1:13" ht="17.25">
      <c r="A237" s="417" t="s">
        <v>208</v>
      </c>
      <c r="B237" s="522" t="s">
        <v>821</v>
      </c>
      <c r="C237" s="523"/>
      <c r="D237" s="523"/>
      <c r="E237" s="524"/>
      <c r="F237" s="151" t="s">
        <v>40</v>
      </c>
      <c r="G237" s="161"/>
      <c r="H237" s="152">
        <f>GLSR!G27</f>
        <v>15</v>
      </c>
      <c r="I237" s="152">
        <f>'Supplimentary Data Details'!J241</f>
        <v>5992.3209591000004</v>
      </c>
      <c r="J237" s="170">
        <f t="shared" si="14"/>
        <v>89884.81</v>
      </c>
      <c r="K237" s="161"/>
      <c r="L237" s="161"/>
      <c r="M237" s="151" t="s">
        <v>330</v>
      </c>
    </row>
    <row r="238" spans="1:13" ht="34.5" customHeight="1">
      <c r="A238" s="418">
        <v>12</v>
      </c>
      <c r="B238" s="331" t="s">
        <v>626</v>
      </c>
      <c r="C238" s="331"/>
      <c r="D238" s="331"/>
      <c r="E238" s="331"/>
      <c r="F238" s="161"/>
      <c r="G238" s="161"/>
      <c r="H238" s="161"/>
      <c r="I238" s="161"/>
      <c r="J238" s="161"/>
      <c r="K238" s="161"/>
      <c r="L238" s="161"/>
      <c r="M238" s="151"/>
    </row>
    <row r="239" spans="1:13" ht="27" customHeight="1">
      <c r="A239" s="418"/>
      <c r="B239" s="320" t="s">
        <v>654</v>
      </c>
      <c r="C239" s="321"/>
      <c r="D239" s="321"/>
      <c r="E239" s="322"/>
      <c r="F239" s="151"/>
      <c r="G239" s="161"/>
      <c r="H239" s="152"/>
      <c r="I239" s="152"/>
      <c r="J239" s="170"/>
      <c r="K239" s="161"/>
      <c r="L239" s="161"/>
      <c r="M239" s="151"/>
    </row>
    <row r="240" spans="1:13" ht="19.5" customHeight="1">
      <c r="A240" s="418" t="s">
        <v>208</v>
      </c>
      <c r="B240" s="317" t="s">
        <v>959</v>
      </c>
      <c r="C240" s="318"/>
      <c r="D240" s="318"/>
      <c r="E240" s="319"/>
      <c r="F240" s="151" t="s">
        <v>23</v>
      </c>
      <c r="G240" s="161"/>
      <c r="H240" s="152">
        <f>GLSR!G30</f>
        <v>2</v>
      </c>
      <c r="I240" s="152">
        <f>'Supplimentary Data Details'!G250</f>
        <v>1515.3527873800001</v>
      </c>
      <c r="J240" s="170">
        <f t="shared" ref="J240:J241" si="15">ROUND((I240*H240),2)</f>
        <v>3030.71</v>
      </c>
      <c r="K240" s="161"/>
      <c r="L240" s="161"/>
      <c r="M240" s="151" t="s">
        <v>330</v>
      </c>
    </row>
    <row r="241" spans="1:13" ht="18.75" customHeight="1">
      <c r="A241" s="418" t="s">
        <v>209</v>
      </c>
      <c r="B241" s="317" t="s">
        <v>960</v>
      </c>
      <c r="C241" s="318"/>
      <c r="D241" s="318"/>
      <c r="E241" s="319"/>
      <c r="F241" s="151" t="s">
        <v>23</v>
      </c>
      <c r="G241" s="161"/>
      <c r="H241" s="152">
        <f>GLSR!G31</f>
        <v>1</v>
      </c>
      <c r="I241" s="152">
        <f>'Supplimentary Data Details'!G258</f>
        <v>2463.87965807</v>
      </c>
      <c r="J241" s="170">
        <f t="shared" si="15"/>
        <v>2463.88</v>
      </c>
      <c r="K241" s="161"/>
      <c r="L241" s="161"/>
      <c r="M241" s="151" t="s">
        <v>330</v>
      </c>
    </row>
    <row r="242" spans="1:13" ht="18.75" customHeight="1">
      <c r="A242" s="418" t="s">
        <v>210</v>
      </c>
      <c r="B242" s="317" t="s">
        <v>655</v>
      </c>
      <c r="C242" s="318"/>
      <c r="D242" s="318"/>
      <c r="E242" s="319"/>
      <c r="F242" s="151" t="s">
        <v>23</v>
      </c>
      <c r="G242" s="161"/>
      <c r="H242" s="152">
        <f>GLSR!G32</f>
        <v>3</v>
      </c>
      <c r="I242" s="152">
        <f>'Supplimentary Data Details'!G266</f>
        <v>5078.5311929700001</v>
      </c>
      <c r="J242" s="170">
        <f>ROUND((I242*H242),2)</f>
        <v>15235.59</v>
      </c>
      <c r="K242" s="161"/>
      <c r="L242" s="161"/>
      <c r="M242" s="151" t="s">
        <v>330</v>
      </c>
    </row>
    <row r="243" spans="1:13" ht="84" customHeight="1">
      <c r="A243" s="419">
        <v>13</v>
      </c>
      <c r="B243" s="331" t="s">
        <v>368</v>
      </c>
      <c r="C243" s="331"/>
      <c r="D243" s="331"/>
      <c r="E243" s="331"/>
      <c r="F243" s="184" t="s">
        <v>40</v>
      </c>
      <c r="G243" s="164"/>
      <c r="H243" s="185">
        <f>GLSR!G34</f>
        <v>30</v>
      </c>
      <c r="I243" s="185">
        <f>'Supplimentary Data Details'!G279</f>
        <v>801.45749311379996</v>
      </c>
      <c r="J243" s="170">
        <f>ROUND((I243*H243),2)</f>
        <v>24043.72</v>
      </c>
      <c r="K243" s="161"/>
      <c r="L243" s="161"/>
      <c r="M243" s="151"/>
    </row>
    <row r="244" spans="1:13" ht="17.25">
      <c r="A244" s="389"/>
      <c r="B244" s="525" t="s">
        <v>337</v>
      </c>
      <c r="C244" s="526"/>
      <c r="D244" s="526"/>
      <c r="E244" s="527"/>
      <c r="F244" s="161"/>
      <c r="G244" s="161"/>
      <c r="H244" s="161"/>
      <c r="I244" s="161"/>
      <c r="J244" s="492"/>
      <c r="K244" s="161"/>
      <c r="L244" s="161"/>
      <c r="M244" s="151"/>
    </row>
    <row r="245" spans="1:13" ht="53.25" customHeight="1">
      <c r="A245" s="419">
        <v>14</v>
      </c>
      <c r="B245" s="317" t="s">
        <v>249</v>
      </c>
      <c r="C245" s="318"/>
      <c r="D245" s="318"/>
      <c r="E245" s="319"/>
      <c r="F245" s="161"/>
      <c r="G245" s="161"/>
      <c r="H245" s="161"/>
      <c r="I245" s="161"/>
      <c r="J245" s="492"/>
      <c r="K245" s="161"/>
      <c r="L245" s="161"/>
      <c r="M245" s="151"/>
    </row>
    <row r="246" spans="1:13" ht="17.25">
      <c r="A246" s="389"/>
      <c r="B246" s="522" t="s">
        <v>381</v>
      </c>
      <c r="C246" s="523"/>
      <c r="D246" s="523"/>
      <c r="E246" s="524"/>
      <c r="F246" s="151" t="s">
        <v>23</v>
      </c>
      <c r="G246" s="161"/>
      <c r="H246" s="143">
        <v>30</v>
      </c>
      <c r="I246" s="143">
        <f>'Supplimentary Data Details'!F283</f>
        <v>4073.5149999999999</v>
      </c>
      <c r="J246" s="170">
        <f t="shared" ref="J246:J257" si="16">ROUND((I246*H246),2)</f>
        <v>122205.45</v>
      </c>
      <c r="K246" s="161"/>
      <c r="L246" s="161"/>
      <c r="M246" s="151" t="s">
        <v>330</v>
      </c>
    </row>
    <row r="247" spans="1:13" ht="87.75" customHeight="1">
      <c r="A247" s="419">
        <v>15</v>
      </c>
      <c r="B247" s="420" t="s">
        <v>962</v>
      </c>
      <c r="C247" s="421"/>
      <c r="D247" s="421"/>
      <c r="E247" s="422"/>
      <c r="F247" s="161"/>
      <c r="G247" s="161"/>
      <c r="H247" s="147"/>
      <c r="I247" s="147"/>
      <c r="J247" s="492"/>
      <c r="K247" s="161"/>
      <c r="L247" s="161"/>
      <c r="M247" s="151"/>
    </row>
    <row r="248" spans="1:13" ht="17.25">
      <c r="A248" s="389"/>
      <c r="B248" s="522" t="s">
        <v>382</v>
      </c>
      <c r="C248" s="523"/>
      <c r="D248" s="523"/>
      <c r="E248" s="524"/>
      <c r="F248" s="151" t="s">
        <v>23</v>
      </c>
      <c r="G248" s="161"/>
      <c r="H248" s="143">
        <v>30</v>
      </c>
      <c r="I248" s="143">
        <f>'Supplimentary Data Details'!F287</f>
        <v>1496.7018</v>
      </c>
      <c r="J248" s="170">
        <f t="shared" si="16"/>
        <v>44901.05</v>
      </c>
      <c r="K248" s="161"/>
      <c r="L248" s="161"/>
      <c r="M248" s="151" t="s">
        <v>330</v>
      </c>
    </row>
    <row r="249" spans="1:13" ht="151.5" customHeight="1">
      <c r="A249" s="423">
        <v>16</v>
      </c>
      <c r="B249" s="528" t="s">
        <v>228</v>
      </c>
      <c r="C249" s="529"/>
      <c r="D249" s="529"/>
      <c r="E249" s="530"/>
      <c r="F249" s="151" t="s">
        <v>49</v>
      </c>
      <c r="G249" s="161"/>
      <c r="H249" s="143">
        <v>8925</v>
      </c>
      <c r="I249" s="143">
        <f>'Supplimentary Data Details'!G301</f>
        <v>20.99578695395833</v>
      </c>
      <c r="J249" s="170">
        <f t="shared" si="16"/>
        <v>187387.4</v>
      </c>
      <c r="K249" s="531"/>
      <c r="L249" s="161"/>
      <c r="M249" s="151" t="s">
        <v>357</v>
      </c>
    </row>
    <row r="250" spans="1:13" ht="73.5" customHeight="1">
      <c r="A250" s="423">
        <v>17</v>
      </c>
      <c r="B250" s="317" t="s">
        <v>30</v>
      </c>
      <c r="C250" s="318"/>
      <c r="D250" s="318"/>
      <c r="E250" s="319"/>
      <c r="F250" s="151"/>
      <c r="G250" s="161"/>
      <c r="H250" s="143"/>
      <c r="I250" s="141"/>
      <c r="J250" s="170"/>
      <c r="K250" s="505"/>
      <c r="L250" s="161"/>
      <c r="M250" s="151"/>
    </row>
    <row r="251" spans="1:13" ht="17.25">
      <c r="A251" s="389"/>
      <c r="B251" s="522" t="s">
        <v>235</v>
      </c>
      <c r="C251" s="523"/>
      <c r="D251" s="523"/>
      <c r="E251" s="524"/>
      <c r="F251" s="151" t="s">
        <v>134</v>
      </c>
      <c r="G251" s="161"/>
      <c r="H251" s="143">
        <v>1050</v>
      </c>
      <c r="I251" s="143">
        <f>'Supplimentary Data Details'!G311</f>
        <v>105.20632544624999</v>
      </c>
      <c r="J251" s="170">
        <f t="shared" si="16"/>
        <v>110466.64</v>
      </c>
      <c r="K251" s="500"/>
      <c r="L251" s="161"/>
      <c r="M251" s="151" t="s">
        <v>357</v>
      </c>
    </row>
    <row r="252" spans="1:13" ht="63.75" customHeight="1">
      <c r="A252" s="419">
        <v>18</v>
      </c>
      <c r="B252" s="317" t="s">
        <v>298</v>
      </c>
      <c r="C252" s="318"/>
      <c r="D252" s="318"/>
      <c r="E252" s="319"/>
      <c r="F252" s="151" t="s">
        <v>279</v>
      </c>
      <c r="G252" s="161"/>
      <c r="H252" s="143">
        <v>17</v>
      </c>
      <c r="I252" s="143">
        <f>'Supplimentary Data Details'!J338</f>
        <v>11728.269473918819</v>
      </c>
      <c r="J252" s="170">
        <f t="shared" si="16"/>
        <v>199380.58</v>
      </c>
      <c r="K252" s="161"/>
      <c r="L252" s="161"/>
      <c r="M252" s="151"/>
    </row>
    <row r="253" spans="1:13" ht="123.75" customHeight="1">
      <c r="A253" s="419">
        <v>19</v>
      </c>
      <c r="B253" s="317" t="s">
        <v>813</v>
      </c>
      <c r="C253" s="318"/>
      <c r="D253" s="318"/>
      <c r="E253" s="318"/>
      <c r="F253" s="164"/>
      <c r="G253" s="164"/>
      <c r="H253" s="164"/>
      <c r="I253" s="164"/>
      <c r="J253" s="164"/>
      <c r="K253" s="161"/>
      <c r="L253" s="161"/>
      <c r="M253" s="151"/>
    </row>
    <row r="254" spans="1:13" ht="16.5" customHeight="1">
      <c r="A254" s="419" t="s">
        <v>208</v>
      </c>
      <c r="B254" s="317" t="s">
        <v>830</v>
      </c>
      <c r="C254" s="318"/>
      <c r="D254" s="318"/>
      <c r="E254" s="319"/>
      <c r="F254" s="184" t="s">
        <v>49</v>
      </c>
      <c r="G254" s="164"/>
      <c r="H254" s="185">
        <f>Pipeline!D15</f>
        <v>30</v>
      </c>
      <c r="I254" s="185">
        <f>'Supplimentary Data Details'!G360</f>
        <v>4451.7342010857456</v>
      </c>
      <c r="J254" s="532">
        <f>I254*H254</f>
        <v>133552.02603257238</v>
      </c>
      <c r="K254" s="161"/>
      <c r="L254" s="161"/>
      <c r="M254" s="151" t="s">
        <v>357</v>
      </c>
    </row>
    <row r="255" spans="1:13" ht="33" customHeight="1">
      <c r="A255" s="419">
        <v>20</v>
      </c>
      <c r="B255" s="317" t="s">
        <v>626</v>
      </c>
      <c r="C255" s="318"/>
      <c r="D255" s="318"/>
      <c r="E255" s="318"/>
      <c r="F255" s="161"/>
      <c r="G255" s="161"/>
      <c r="H255" s="161"/>
      <c r="I255" s="161"/>
      <c r="J255" s="161"/>
      <c r="K255" s="161"/>
      <c r="L255" s="161"/>
      <c r="M255" s="151"/>
    </row>
    <row r="256" spans="1:13" ht="16.5" customHeight="1">
      <c r="A256" s="419" t="s">
        <v>208</v>
      </c>
      <c r="B256" s="522" t="s">
        <v>245</v>
      </c>
      <c r="C256" s="523"/>
      <c r="D256" s="523"/>
      <c r="E256" s="524"/>
      <c r="F256" s="161"/>
      <c r="G256" s="161"/>
      <c r="H256" s="161"/>
      <c r="I256" s="161"/>
      <c r="J256" s="161"/>
      <c r="K256" s="161"/>
      <c r="L256" s="161"/>
      <c r="M256" s="151" t="s">
        <v>357</v>
      </c>
    </row>
    <row r="257" spans="1:13" ht="16.5" customHeight="1">
      <c r="A257" s="389"/>
      <c r="B257" s="533" t="s">
        <v>338</v>
      </c>
      <c r="C257" s="534"/>
      <c r="D257" s="534"/>
      <c r="E257" s="535"/>
      <c r="F257" s="143" t="s">
        <v>339</v>
      </c>
      <c r="G257" s="161"/>
      <c r="H257" s="143">
        <v>20</v>
      </c>
      <c r="I257" s="152">
        <f>'Supplimentary Data Details'!G369</f>
        <v>792.98373193500004</v>
      </c>
      <c r="J257" s="170">
        <f t="shared" si="16"/>
        <v>15859.67</v>
      </c>
      <c r="K257" s="161"/>
      <c r="L257" s="161"/>
      <c r="M257" s="151"/>
    </row>
    <row r="258" spans="1:13" ht="17.25">
      <c r="A258" s="424" t="s">
        <v>209</v>
      </c>
      <c r="B258" s="522" t="s">
        <v>246</v>
      </c>
      <c r="C258" s="523"/>
      <c r="D258" s="523"/>
      <c r="E258" s="524"/>
      <c r="F258" s="143"/>
      <c r="G258" s="161"/>
      <c r="H258" s="143"/>
      <c r="I258" s="141"/>
      <c r="J258" s="170"/>
      <c r="K258" s="161"/>
      <c r="L258" s="161"/>
      <c r="M258" s="151"/>
    </row>
    <row r="259" spans="1:13" ht="17.25">
      <c r="A259" s="424"/>
      <c r="B259" s="533" t="s">
        <v>338</v>
      </c>
      <c r="C259" s="534"/>
      <c r="D259" s="534"/>
      <c r="E259" s="535"/>
      <c r="F259" s="143" t="s">
        <v>339</v>
      </c>
      <c r="G259" s="161"/>
      <c r="H259" s="143">
        <v>9</v>
      </c>
      <c r="I259" s="143">
        <f>'Supplimentary Data Details'!G377</f>
        <v>4069.8864220250002</v>
      </c>
      <c r="J259" s="170">
        <f>ROUND((I259*H257),2)</f>
        <v>81397.73</v>
      </c>
      <c r="K259" s="161"/>
      <c r="L259" s="161"/>
      <c r="M259" s="151" t="s">
        <v>357</v>
      </c>
    </row>
    <row r="260" spans="1:13">
      <c r="A260" s="536" t="s">
        <v>278</v>
      </c>
      <c r="B260" s="537"/>
      <c r="C260" s="537"/>
      <c r="D260" s="537"/>
      <c r="E260" s="538"/>
      <c r="F260" s="161"/>
      <c r="G260" s="161"/>
      <c r="H260" s="475"/>
      <c r="I260" s="161"/>
      <c r="J260" s="492"/>
      <c r="K260" s="161"/>
      <c r="L260" s="161"/>
      <c r="M260" s="151"/>
    </row>
    <row r="261" spans="1:13" ht="123" customHeight="1">
      <c r="A261" s="419">
        <v>21</v>
      </c>
      <c r="B261" s="317" t="s">
        <v>239</v>
      </c>
      <c r="C261" s="318"/>
      <c r="D261" s="318"/>
      <c r="E261" s="319"/>
      <c r="F261" s="141" t="s">
        <v>49</v>
      </c>
      <c r="G261" s="141"/>
      <c r="H261" s="143">
        <f>'Panal board'!I9</f>
        <v>98.013300000000001</v>
      </c>
      <c r="I261" s="143">
        <f>'Panal Board data'!G17</f>
        <v>84.862459808370843</v>
      </c>
      <c r="J261" s="170">
        <f t="shared" ref="J261:J277" si="17">ROUND((I261*H261),2)</f>
        <v>8317.65</v>
      </c>
      <c r="K261" s="161"/>
      <c r="L261" s="161"/>
      <c r="M261" s="184" t="s">
        <v>310</v>
      </c>
    </row>
    <row r="262" spans="1:13" ht="67.5" customHeight="1">
      <c r="A262" s="419">
        <v>22</v>
      </c>
      <c r="B262" s="539" t="s">
        <v>231</v>
      </c>
      <c r="C262" s="540"/>
      <c r="D262" s="540"/>
      <c r="E262" s="541"/>
      <c r="F262" s="141" t="s">
        <v>49</v>
      </c>
      <c r="G262" s="141"/>
      <c r="H262" s="143">
        <f>'Panal board'!I12</f>
        <v>29.276700000000002</v>
      </c>
      <c r="I262" s="143">
        <f>'Panal Board data'!G22</f>
        <v>547.78278</v>
      </c>
      <c r="J262" s="170">
        <f t="shared" si="17"/>
        <v>16037.27</v>
      </c>
      <c r="K262" s="161"/>
      <c r="L262" s="161"/>
      <c r="M262" s="184" t="s">
        <v>310</v>
      </c>
    </row>
    <row r="263" spans="1:13" ht="104.25" customHeight="1">
      <c r="A263" s="419">
        <v>23</v>
      </c>
      <c r="B263" s="528" t="s">
        <v>187</v>
      </c>
      <c r="C263" s="529"/>
      <c r="D263" s="529"/>
      <c r="E263" s="530"/>
      <c r="F263" s="141" t="s">
        <v>49</v>
      </c>
      <c r="G263" s="141"/>
      <c r="H263" s="143">
        <f>'Panal board'!I23</f>
        <v>12.54</v>
      </c>
      <c r="I263" s="143">
        <f>'Panal Board data'!G43</f>
        <v>3478.9379592945847</v>
      </c>
      <c r="J263" s="170">
        <f t="shared" si="17"/>
        <v>43625.88</v>
      </c>
      <c r="K263" s="161"/>
      <c r="L263" s="161"/>
      <c r="M263" s="184" t="s">
        <v>310</v>
      </c>
    </row>
    <row r="264" spans="1:13" ht="55.5" customHeight="1">
      <c r="A264" s="419">
        <v>24</v>
      </c>
      <c r="B264" s="317" t="s">
        <v>635</v>
      </c>
      <c r="C264" s="318"/>
      <c r="D264" s="318"/>
      <c r="E264" s="319"/>
      <c r="F264" s="164"/>
      <c r="G264" s="164"/>
      <c r="H264" s="164"/>
      <c r="I264" s="161"/>
      <c r="J264" s="492"/>
      <c r="K264" s="161"/>
      <c r="L264" s="161"/>
      <c r="M264" s="184"/>
    </row>
    <row r="265" spans="1:13" ht="33">
      <c r="A265" s="389"/>
      <c r="B265" s="542" t="s">
        <v>692</v>
      </c>
      <c r="C265" s="543"/>
      <c r="D265" s="543"/>
      <c r="E265" s="544"/>
      <c r="F265" s="141" t="s">
        <v>49</v>
      </c>
      <c r="G265" s="141"/>
      <c r="H265" s="143">
        <f>'Panal board'!I37</f>
        <v>15.292499999999995</v>
      </c>
      <c r="I265" s="143">
        <f>'Panal Board data'!G69</f>
        <v>7000.6136596873257</v>
      </c>
      <c r="J265" s="170">
        <f t="shared" si="17"/>
        <v>107056.88</v>
      </c>
      <c r="K265" s="161"/>
      <c r="L265" s="161"/>
      <c r="M265" s="184" t="s">
        <v>310</v>
      </c>
    </row>
    <row r="266" spans="1:13" ht="50.25" customHeight="1">
      <c r="A266" s="419">
        <v>25</v>
      </c>
      <c r="B266" s="528" t="s">
        <v>199</v>
      </c>
      <c r="C266" s="529"/>
      <c r="D266" s="529"/>
      <c r="E266" s="530"/>
      <c r="F266" s="161"/>
      <c r="G266" s="161"/>
      <c r="H266" s="161"/>
      <c r="I266" s="161"/>
      <c r="J266" s="492"/>
      <c r="K266" s="161"/>
      <c r="L266" s="161"/>
      <c r="M266" s="184"/>
    </row>
    <row r="267" spans="1:13" ht="33">
      <c r="A267" s="389"/>
      <c r="B267" s="545" t="s">
        <v>693</v>
      </c>
      <c r="C267" s="546"/>
      <c r="D267" s="546"/>
      <c r="E267" s="547"/>
      <c r="F267" s="141" t="s">
        <v>82</v>
      </c>
      <c r="G267" s="147"/>
      <c r="H267" s="143">
        <f>'Panal board'!H43</f>
        <v>116.42</v>
      </c>
      <c r="I267" s="143">
        <f>'Panal Board data'!G78</f>
        <v>1271.0641768199998</v>
      </c>
      <c r="J267" s="170">
        <f t="shared" si="17"/>
        <v>147977.29</v>
      </c>
      <c r="K267" s="161"/>
      <c r="L267" s="161"/>
      <c r="M267" s="184" t="s">
        <v>310</v>
      </c>
    </row>
    <row r="268" spans="1:13" ht="184.5" customHeight="1">
      <c r="A268" s="419">
        <v>26</v>
      </c>
      <c r="B268" s="420" t="s">
        <v>202</v>
      </c>
      <c r="C268" s="421"/>
      <c r="D268" s="421"/>
      <c r="E268" s="422"/>
      <c r="F268" s="141" t="s">
        <v>22</v>
      </c>
      <c r="G268" s="141"/>
      <c r="H268" s="143">
        <f>'Panal board'!I45</f>
        <v>3</v>
      </c>
      <c r="I268" s="143">
        <f>'Panal Board data'!G97</f>
        <v>54187.221682225005</v>
      </c>
      <c r="J268" s="170">
        <f t="shared" si="17"/>
        <v>162561.67000000001</v>
      </c>
      <c r="K268" s="161"/>
      <c r="L268" s="161"/>
      <c r="M268" s="184" t="s">
        <v>310</v>
      </c>
    </row>
    <row r="269" spans="1:13" ht="39.75" customHeight="1">
      <c r="A269" s="419">
        <v>27</v>
      </c>
      <c r="B269" s="420" t="s">
        <v>630</v>
      </c>
      <c r="C269" s="421"/>
      <c r="D269" s="421"/>
      <c r="E269" s="422"/>
      <c r="F269" s="141" t="s">
        <v>49</v>
      </c>
      <c r="G269" s="141"/>
      <c r="H269" s="143">
        <f>'Panal board'!I55</f>
        <v>121.67</v>
      </c>
      <c r="I269" s="143">
        <f>'Panal Board data'!G108</f>
        <v>210.88977708499999</v>
      </c>
      <c r="J269" s="170">
        <f t="shared" si="17"/>
        <v>25658.959999999999</v>
      </c>
      <c r="K269" s="161"/>
      <c r="L269" s="161"/>
      <c r="M269" s="184" t="s">
        <v>310</v>
      </c>
    </row>
    <row r="270" spans="1:13" ht="35.25" customHeight="1">
      <c r="A270" s="419">
        <v>28</v>
      </c>
      <c r="B270" s="317" t="s">
        <v>899</v>
      </c>
      <c r="C270" s="318"/>
      <c r="D270" s="318"/>
      <c r="E270" s="319"/>
      <c r="F270" s="141" t="s">
        <v>49</v>
      </c>
      <c r="G270" s="156"/>
      <c r="H270" s="143">
        <v>15</v>
      </c>
      <c r="I270" s="143">
        <f>'Panal Board data'!G126</f>
        <v>4142</v>
      </c>
      <c r="J270" s="170">
        <f t="shared" si="17"/>
        <v>62130</v>
      </c>
      <c r="K270" s="161"/>
      <c r="L270" s="475"/>
      <c r="M270" s="184" t="s">
        <v>310</v>
      </c>
    </row>
    <row r="271" spans="1:13" ht="70.5" customHeight="1">
      <c r="A271" s="419">
        <v>29</v>
      </c>
      <c r="B271" s="548" t="s">
        <v>848</v>
      </c>
      <c r="C271" s="549"/>
      <c r="D271" s="549"/>
      <c r="E271" s="549"/>
      <c r="F271" s="141" t="s">
        <v>49</v>
      </c>
      <c r="G271" s="550"/>
      <c r="H271" s="189">
        <f>'Panal board'!I75</f>
        <v>29.999999999999996</v>
      </c>
      <c r="I271" s="189">
        <f>'Panal Board data'!G145</f>
        <v>4692.0173599999998</v>
      </c>
      <c r="J271" s="170">
        <f t="shared" si="17"/>
        <v>140760.51999999999</v>
      </c>
      <c r="K271" s="161"/>
      <c r="L271" s="475"/>
      <c r="M271" s="184" t="s">
        <v>310</v>
      </c>
    </row>
    <row r="272" spans="1:13" ht="139.5" customHeight="1">
      <c r="A272" s="419">
        <v>30</v>
      </c>
      <c r="B272" s="317" t="s">
        <v>631</v>
      </c>
      <c r="C272" s="318"/>
      <c r="D272" s="318"/>
      <c r="E272" s="319"/>
      <c r="F272" s="141" t="s">
        <v>82</v>
      </c>
      <c r="G272" s="156"/>
      <c r="H272" s="143">
        <f>2.6*3.1</f>
        <v>8.06</v>
      </c>
      <c r="I272" s="143">
        <f>'Panal Board data'!G153</f>
        <v>3897.6438665324995</v>
      </c>
      <c r="J272" s="170">
        <f>I272*H272</f>
        <v>31415.009564251948</v>
      </c>
      <c r="K272" s="164"/>
      <c r="L272" s="475"/>
      <c r="M272" s="184" t="s">
        <v>310</v>
      </c>
    </row>
    <row r="273" spans="1:13" ht="90" customHeight="1">
      <c r="A273" s="419">
        <v>31</v>
      </c>
      <c r="B273" s="420" t="s">
        <v>629</v>
      </c>
      <c r="C273" s="421"/>
      <c r="D273" s="421"/>
      <c r="E273" s="422"/>
      <c r="F273" s="141" t="s">
        <v>82</v>
      </c>
      <c r="G273" s="141"/>
      <c r="H273" s="143">
        <f>'Panal board'!H95</f>
        <v>314.33</v>
      </c>
      <c r="I273" s="143">
        <f>'Panal Board data'!G178</f>
        <v>318.05231992050005</v>
      </c>
      <c r="J273" s="170">
        <f t="shared" si="17"/>
        <v>99973.39</v>
      </c>
      <c r="K273" s="164"/>
      <c r="L273" s="161"/>
      <c r="M273" s="184" t="s">
        <v>310</v>
      </c>
    </row>
    <row r="274" spans="1:13" ht="160.5" customHeight="1">
      <c r="A274" s="419">
        <v>32</v>
      </c>
      <c r="B274" s="551" t="s">
        <v>83</v>
      </c>
      <c r="C274" s="552"/>
      <c r="D274" s="552"/>
      <c r="E274" s="553"/>
      <c r="F274" s="141" t="s">
        <v>82</v>
      </c>
      <c r="G274" s="190"/>
      <c r="H274" s="143">
        <f>'Panal board'!I99</f>
        <v>10.7</v>
      </c>
      <c r="I274" s="143">
        <f>'Panal Board data'!H201</f>
        <v>4431.2596851290073</v>
      </c>
      <c r="J274" s="170">
        <f t="shared" si="17"/>
        <v>47414.48</v>
      </c>
      <c r="K274" s="161"/>
      <c r="L274" s="161"/>
      <c r="M274" s="184" t="s">
        <v>310</v>
      </c>
    </row>
    <row r="275" spans="1:13" ht="105.75" customHeight="1">
      <c r="A275" s="419">
        <v>33</v>
      </c>
      <c r="B275" s="551" t="s">
        <v>86</v>
      </c>
      <c r="C275" s="552"/>
      <c r="D275" s="552"/>
      <c r="E275" s="553"/>
      <c r="F275" s="151" t="s">
        <v>82</v>
      </c>
      <c r="G275" s="191"/>
      <c r="H275" s="151">
        <v>15.75</v>
      </c>
      <c r="I275" s="152">
        <f>'Panal Board data'!H221</f>
        <v>713.88031250375536</v>
      </c>
      <c r="J275" s="170">
        <f t="shared" si="17"/>
        <v>11243.61</v>
      </c>
      <c r="K275" s="161"/>
      <c r="L275" s="161"/>
      <c r="M275" s="184" t="s">
        <v>310</v>
      </c>
    </row>
    <row r="276" spans="1:13" ht="102.75" customHeight="1">
      <c r="A276" s="419">
        <v>34</v>
      </c>
      <c r="B276" s="317" t="s">
        <v>140</v>
      </c>
      <c r="C276" s="318"/>
      <c r="D276" s="318"/>
      <c r="E276" s="319"/>
      <c r="F276" s="151" t="s">
        <v>82</v>
      </c>
      <c r="G276" s="184"/>
      <c r="H276" s="152">
        <f>'Panal board'!H121</f>
        <v>314.33</v>
      </c>
      <c r="I276" s="152">
        <f>'Panal Board data'!G239</f>
        <v>135.25573304990002</v>
      </c>
      <c r="J276" s="170">
        <f t="shared" si="17"/>
        <v>42514.93</v>
      </c>
      <c r="K276" s="161"/>
      <c r="L276" s="161"/>
      <c r="M276" s="184" t="s">
        <v>310</v>
      </c>
    </row>
    <row r="277" spans="1:13" ht="120" customHeight="1">
      <c r="A277" s="419">
        <v>35</v>
      </c>
      <c r="B277" s="317" t="s">
        <v>81</v>
      </c>
      <c r="C277" s="318"/>
      <c r="D277" s="318"/>
      <c r="E277" s="319"/>
      <c r="F277" s="151" t="s">
        <v>82</v>
      </c>
      <c r="G277" s="164"/>
      <c r="H277" s="185">
        <f>'Panal board'!I123</f>
        <v>85</v>
      </c>
      <c r="I277" s="185">
        <f>'Panal Board data'!G257</f>
        <v>354.79057870185517</v>
      </c>
      <c r="J277" s="170">
        <f t="shared" si="17"/>
        <v>30157.200000000001</v>
      </c>
      <c r="K277" s="164"/>
      <c r="L277" s="554"/>
      <c r="M277" s="184" t="s">
        <v>310</v>
      </c>
    </row>
    <row r="278" spans="1:13" ht="165.75" customHeight="1">
      <c r="A278" s="419">
        <v>36</v>
      </c>
      <c r="B278" s="551" t="s">
        <v>84</v>
      </c>
      <c r="C278" s="552"/>
      <c r="D278" s="552"/>
      <c r="E278" s="552"/>
      <c r="F278" s="151" t="s">
        <v>82</v>
      </c>
      <c r="G278" s="555"/>
      <c r="H278" s="191">
        <f>1.8*1.5*4</f>
        <v>10.8</v>
      </c>
      <c r="I278" s="185">
        <f>'Panal Board data'!G264</f>
        <v>6083.3589543750004</v>
      </c>
      <c r="J278" s="170">
        <f>I278*H278</f>
        <v>65700.276707250014</v>
      </c>
      <c r="K278" s="164"/>
      <c r="L278" s="554"/>
      <c r="M278" s="184" t="s">
        <v>310</v>
      </c>
    </row>
    <row r="279" spans="1:13">
      <c r="A279" s="389"/>
      <c r="B279" s="392"/>
      <c r="C279" s="556"/>
      <c r="D279" s="556"/>
      <c r="E279" s="557"/>
      <c r="G279" s="161"/>
      <c r="H279" s="161"/>
      <c r="I279" s="161"/>
      <c r="J279" s="492"/>
      <c r="K279" s="161"/>
      <c r="L279" s="161"/>
      <c r="M279" s="151"/>
    </row>
    <row r="280" spans="1:13">
      <c r="A280" s="558"/>
      <c r="B280" s="536" t="s">
        <v>89</v>
      </c>
      <c r="C280" s="537"/>
      <c r="D280" s="537"/>
      <c r="E280" s="538"/>
      <c r="F280" s="161"/>
      <c r="G280" s="161"/>
      <c r="H280" s="161"/>
      <c r="I280" s="161"/>
      <c r="J280" s="492"/>
      <c r="K280" s="161"/>
      <c r="L280" s="161"/>
      <c r="M280" s="151"/>
    </row>
    <row r="281" spans="1:13" ht="63.75" customHeight="1">
      <c r="A281" s="424">
        <v>37</v>
      </c>
      <c r="B281" s="559" t="s">
        <v>90</v>
      </c>
      <c r="C281" s="560"/>
      <c r="D281" s="560"/>
      <c r="E281" s="561"/>
      <c r="F281" s="151" t="s">
        <v>40</v>
      </c>
      <c r="G281" s="562"/>
      <c r="H281" s="143">
        <v>40</v>
      </c>
      <c r="I281" s="143">
        <f>'Panal Board data'!E275</f>
        <v>403.64754099999999</v>
      </c>
      <c r="J281" s="170">
        <f t="shared" ref="J281:J296" si="18">ROUND((I281*H281),2)</f>
        <v>16145.9</v>
      </c>
      <c r="K281" s="161"/>
      <c r="L281" s="161"/>
      <c r="M281" s="151" t="s">
        <v>330</v>
      </c>
    </row>
    <row r="282" spans="1:13" ht="45.75" customHeight="1">
      <c r="A282" s="424">
        <v>38</v>
      </c>
      <c r="B282" s="559" t="s">
        <v>91</v>
      </c>
      <c r="C282" s="560"/>
      <c r="D282" s="560"/>
      <c r="E282" s="561"/>
      <c r="F282" s="141" t="s">
        <v>23</v>
      </c>
      <c r="G282" s="192"/>
      <c r="H282" s="143">
        <v>1</v>
      </c>
      <c r="I282" s="143">
        <f>'Panal Board data'!E283</f>
        <v>590.68487199999993</v>
      </c>
      <c r="J282" s="170">
        <f t="shared" si="18"/>
        <v>590.67999999999995</v>
      </c>
      <c r="K282" s="151"/>
      <c r="L282" s="151"/>
      <c r="M282" s="151" t="s">
        <v>330</v>
      </c>
    </row>
    <row r="283" spans="1:13" ht="139.5" customHeight="1">
      <c r="A283" s="419">
        <v>39</v>
      </c>
      <c r="B283" s="559" t="s">
        <v>92</v>
      </c>
      <c r="C283" s="560"/>
      <c r="D283" s="560"/>
      <c r="E283" s="561"/>
      <c r="F283" s="141" t="s">
        <v>23</v>
      </c>
      <c r="G283" s="192"/>
      <c r="H283" s="143">
        <v>3</v>
      </c>
      <c r="I283" s="143">
        <f>'Panal Board data'!E292</f>
        <v>6986.0782249999993</v>
      </c>
      <c r="J283" s="170">
        <f t="shared" si="18"/>
        <v>20958.23</v>
      </c>
      <c r="K283" s="151"/>
      <c r="L283" s="151"/>
      <c r="M283" s="151" t="s">
        <v>330</v>
      </c>
    </row>
    <row r="284" spans="1:13" ht="68.25" customHeight="1">
      <c r="A284" s="419">
        <v>40</v>
      </c>
      <c r="B284" s="559" t="s">
        <v>93</v>
      </c>
      <c r="C284" s="560"/>
      <c r="D284" s="560"/>
      <c r="E284" s="561"/>
      <c r="F284" s="141" t="s">
        <v>23</v>
      </c>
      <c r="G284" s="192"/>
      <c r="H284" s="143">
        <v>1</v>
      </c>
      <c r="I284" s="143">
        <f>'Panal Board data'!E304</f>
        <v>1504.857229</v>
      </c>
      <c r="J284" s="170">
        <f t="shared" si="18"/>
        <v>1504.86</v>
      </c>
      <c r="K284" s="151"/>
      <c r="L284" s="152"/>
      <c r="M284" s="151" t="s">
        <v>330</v>
      </c>
    </row>
    <row r="285" spans="1:13" ht="33" customHeight="1">
      <c r="A285" s="419">
        <v>41</v>
      </c>
      <c r="B285" s="559" t="s">
        <v>94</v>
      </c>
      <c r="C285" s="560"/>
      <c r="D285" s="560"/>
      <c r="E285" s="561"/>
      <c r="F285" s="141" t="s">
        <v>23</v>
      </c>
      <c r="G285" s="192"/>
      <c r="H285" s="143">
        <v>1</v>
      </c>
      <c r="I285" s="143">
        <f>'Panal Board data'!E311</f>
        <v>2418.0755435900001</v>
      </c>
      <c r="J285" s="170">
        <f t="shared" si="18"/>
        <v>2418.08</v>
      </c>
      <c r="K285" s="151"/>
      <c r="L285" s="152"/>
      <c r="M285" s="151" t="s">
        <v>330</v>
      </c>
    </row>
    <row r="286" spans="1:13" ht="77.25" customHeight="1">
      <c r="A286" s="419">
        <v>42</v>
      </c>
      <c r="B286" s="559" t="s">
        <v>95</v>
      </c>
      <c r="C286" s="560"/>
      <c r="D286" s="560"/>
      <c r="E286" s="561"/>
      <c r="F286" s="143" t="s">
        <v>23</v>
      </c>
      <c r="G286" s="192"/>
      <c r="H286" s="143">
        <v>8</v>
      </c>
      <c r="I286" s="143">
        <f>'Panal Board data'!E319</f>
        <v>1890.3713290000001</v>
      </c>
      <c r="J286" s="170">
        <f t="shared" si="18"/>
        <v>15122.97</v>
      </c>
      <c r="K286" s="151"/>
      <c r="L286" s="152"/>
      <c r="M286" s="151" t="s">
        <v>330</v>
      </c>
    </row>
    <row r="287" spans="1:13" ht="28.5" customHeight="1">
      <c r="A287" s="419">
        <v>43</v>
      </c>
      <c r="B287" s="559" t="s">
        <v>96</v>
      </c>
      <c r="C287" s="560"/>
      <c r="D287" s="560"/>
      <c r="E287" s="561"/>
      <c r="F287" s="143" t="s">
        <v>40</v>
      </c>
      <c r="G287" s="193"/>
      <c r="H287" s="143">
        <v>15</v>
      </c>
      <c r="I287" s="143">
        <f>'Panal Board data'!E327</f>
        <v>128.82386199999999</v>
      </c>
      <c r="J287" s="170">
        <f t="shared" si="18"/>
        <v>1932.36</v>
      </c>
      <c r="K287" s="152"/>
      <c r="L287" s="152"/>
      <c r="M287" s="151" t="s">
        <v>330</v>
      </c>
    </row>
    <row r="288" spans="1:13" ht="18.75" customHeight="1">
      <c r="A288" s="419">
        <v>44</v>
      </c>
      <c r="B288" s="559" t="s">
        <v>97</v>
      </c>
      <c r="C288" s="560"/>
      <c r="D288" s="560"/>
      <c r="E288" s="561"/>
      <c r="F288" s="152" t="s">
        <v>23</v>
      </c>
      <c r="G288" s="194"/>
      <c r="H288" s="143">
        <v>1</v>
      </c>
      <c r="I288" s="143">
        <f>'Panal Board data'!E335</f>
        <v>111.647907</v>
      </c>
      <c r="J288" s="170">
        <f t="shared" si="18"/>
        <v>111.65</v>
      </c>
      <c r="K288" s="152"/>
      <c r="L288" s="152"/>
      <c r="M288" s="151" t="s">
        <v>330</v>
      </c>
    </row>
    <row r="289" spans="1:13" ht="33.75" customHeight="1">
      <c r="A289" s="419">
        <v>45</v>
      </c>
      <c r="B289" s="559" t="s">
        <v>98</v>
      </c>
      <c r="C289" s="560"/>
      <c r="D289" s="560"/>
      <c r="E289" s="561"/>
      <c r="F289" s="143" t="s">
        <v>40</v>
      </c>
      <c r="G289" s="193"/>
      <c r="H289" s="143">
        <v>10</v>
      </c>
      <c r="I289" s="143">
        <f>'Panal Board data'!E343</f>
        <v>194.663623</v>
      </c>
      <c r="J289" s="170">
        <f t="shared" si="18"/>
        <v>1946.64</v>
      </c>
      <c r="K289" s="152"/>
      <c r="L289" s="152"/>
      <c r="M289" s="151" t="s">
        <v>330</v>
      </c>
    </row>
    <row r="290" spans="1:13" ht="32.25" customHeight="1">
      <c r="A290" s="419">
        <v>46</v>
      </c>
      <c r="B290" s="559" t="s">
        <v>99</v>
      </c>
      <c r="C290" s="560"/>
      <c r="D290" s="560"/>
      <c r="E290" s="561"/>
      <c r="F290" s="143" t="s">
        <v>40</v>
      </c>
      <c r="G290" s="193"/>
      <c r="H290" s="143">
        <v>30</v>
      </c>
      <c r="I290" s="143">
        <f>'Panal Board data'!E351</f>
        <v>255.741151</v>
      </c>
      <c r="J290" s="170">
        <f t="shared" si="18"/>
        <v>7672.23</v>
      </c>
      <c r="K290" s="152"/>
      <c r="L290" s="152"/>
      <c r="M290" s="151" t="s">
        <v>330</v>
      </c>
    </row>
    <row r="291" spans="1:13" ht="31.5" customHeight="1">
      <c r="A291" s="419">
        <v>47</v>
      </c>
      <c r="B291" s="559" t="s">
        <v>100</v>
      </c>
      <c r="C291" s="560"/>
      <c r="D291" s="560"/>
      <c r="E291" s="561"/>
      <c r="F291" s="143" t="s">
        <v>23</v>
      </c>
      <c r="G291" s="193"/>
      <c r="H291" s="143">
        <v>1</v>
      </c>
      <c r="I291" s="143">
        <f>'Panal Board data'!E359</f>
        <v>518.15950699999996</v>
      </c>
      <c r="J291" s="170">
        <f t="shared" si="18"/>
        <v>518.16</v>
      </c>
      <c r="K291" s="152"/>
      <c r="L291" s="152"/>
      <c r="M291" s="151" t="s">
        <v>330</v>
      </c>
    </row>
    <row r="292" spans="1:13" ht="29.25" customHeight="1">
      <c r="A292" s="419">
        <v>48</v>
      </c>
      <c r="B292" s="559" t="s">
        <v>101</v>
      </c>
      <c r="C292" s="560"/>
      <c r="D292" s="560"/>
      <c r="E292" s="561"/>
      <c r="F292" s="143" t="s">
        <v>23</v>
      </c>
      <c r="G292" s="193"/>
      <c r="H292" s="143">
        <v>1</v>
      </c>
      <c r="I292" s="143">
        <f>'Panal Board data'!E367</f>
        <v>542.01266699999996</v>
      </c>
      <c r="J292" s="170">
        <f t="shared" si="18"/>
        <v>542.01</v>
      </c>
      <c r="K292" s="152"/>
      <c r="L292" s="152"/>
      <c r="M292" s="151" t="s">
        <v>330</v>
      </c>
    </row>
    <row r="293" spans="1:13" ht="27.75" customHeight="1">
      <c r="A293" s="419">
        <v>49</v>
      </c>
      <c r="B293" s="559" t="s">
        <v>102</v>
      </c>
      <c r="C293" s="560"/>
      <c r="D293" s="560"/>
      <c r="E293" s="561"/>
      <c r="F293" s="143" t="s">
        <v>23</v>
      </c>
      <c r="G293" s="563"/>
      <c r="H293" s="143">
        <v>1</v>
      </c>
      <c r="I293" s="143">
        <f>'Panal Board data'!E375</f>
        <v>525.79419799999994</v>
      </c>
      <c r="J293" s="170">
        <f t="shared" si="18"/>
        <v>525.79</v>
      </c>
      <c r="K293" s="152"/>
      <c r="L293" s="152"/>
      <c r="M293" s="151" t="s">
        <v>330</v>
      </c>
    </row>
    <row r="294" spans="1:13" ht="33.75" customHeight="1">
      <c r="A294" s="419">
        <v>50</v>
      </c>
      <c r="B294" s="559" t="s">
        <v>103</v>
      </c>
      <c r="C294" s="560"/>
      <c r="D294" s="560"/>
      <c r="E294" s="561"/>
      <c r="F294" s="143" t="s">
        <v>23</v>
      </c>
      <c r="G294" s="563"/>
      <c r="H294" s="143">
        <v>2</v>
      </c>
      <c r="I294" s="143">
        <f>'Panal Board data'!E382</f>
        <v>90.653976574999987</v>
      </c>
      <c r="J294" s="170">
        <f t="shared" si="18"/>
        <v>181.31</v>
      </c>
      <c r="K294" s="152"/>
      <c r="L294" s="152"/>
      <c r="M294" s="151" t="s">
        <v>330</v>
      </c>
    </row>
    <row r="295" spans="1:13" ht="62.25" customHeight="1">
      <c r="A295" s="419">
        <v>51</v>
      </c>
      <c r="B295" s="559" t="s">
        <v>104</v>
      </c>
      <c r="C295" s="560"/>
      <c r="D295" s="560"/>
      <c r="E295" s="561"/>
      <c r="F295" s="143" t="s">
        <v>141</v>
      </c>
      <c r="G295" s="193"/>
      <c r="H295" s="143">
        <v>500</v>
      </c>
      <c r="I295" s="143">
        <f>'Panal Board data'!E389</f>
        <v>6.6772049999999998</v>
      </c>
      <c r="J295" s="170">
        <f t="shared" si="18"/>
        <v>3338.6</v>
      </c>
      <c r="K295" s="152"/>
      <c r="L295" s="152"/>
      <c r="M295" s="151" t="s">
        <v>330</v>
      </c>
    </row>
    <row r="296" spans="1:13" ht="53.25" customHeight="1">
      <c r="A296" s="419">
        <v>52</v>
      </c>
      <c r="B296" s="426" t="s">
        <v>966</v>
      </c>
      <c r="C296" s="427"/>
      <c r="D296" s="427"/>
      <c r="E296" s="428"/>
      <c r="F296" s="143" t="s">
        <v>23</v>
      </c>
      <c r="G296" s="193"/>
      <c r="H296" s="143">
        <f>'Panal board'!I165</f>
        <v>4</v>
      </c>
      <c r="I296" s="143">
        <f>'Panal Board data'!H395</f>
        <v>2438.114843675</v>
      </c>
      <c r="J296" s="170">
        <f t="shared" si="18"/>
        <v>9752.4599999999991</v>
      </c>
      <c r="K296" s="152"/>
      <c r="L296" s="152"/>
      <c r="M296" s="151" t="s">
        <v>330</v>
      </c>
    </row>
    <row r="297" spans="1:13">
      <c r="A297" s="429"/>
      <c r="B297" s="564" t="s">
        <v>262</v>
      </c>
      <c r="C297" s="565"/>
      <c r="D297" s="565"/>
      <c r="E297" s="566"/>
      <c r="F297" s="161"/>
      <c r="G297" s="161"/>
      <c r="H297" s="161"/>
      <c r="I297" s="161"/>
      <c r="J297" s="492"/>
      <c r="K297" s="161"/>
      <c r="L297" s="161"/>
      <c r="M297" s="151"/>
    </row>
    <row r="298" spans="1:13" ht="63" customHeight="1">
      <c r="A298" s="430">
        <v>53</v>
      </c>
      <c r="B298" s="317" t="s">
        <v>772</v>
      </c>
      <c r="C298" s="318"/>
      <c r="D298" s="318"/>
      <c r="E298" s="319"/>
      <c r="F298" s="141" t="s">
        <v>23</v>
      </c>
      <c r="G298" s="147"/>
      <c r="H298" s="143">
        <v>2</v>
      </c>
      <c r="I298" s="196">
        <f>'Panal Board data'!G405</f>
        <v>104204.360442</v>
      </c>
      <c r="J298" s="170">
        <f>ROUND((I298*H298),2)</f>
        <v>208408.72</v>
      </c>
      <c r="K298" s="161"/>
      <c r="L298" s="161"/>
      <c r="M298" s="151" t="s">
        <v>330</v>
      </c>
    </row>
    <row r="299" spans="1:13" ht="78" customHeight="1">
      <c r="A299" s="430">
        <v>54</v>
      </c>
      <c r="B299" s="317" t="s">
        <v>280</v>
      </c>
      <c r="C299" s="318"/>
      <c r="D299" s="318"/>
      <c r="E299" s="319"/>
      <c r="F299" s="141" t="s">
        <v>40</v>
      </c>
      <c r="G299" s="147"/>
      <c r="H299" s="143">
        <v>26</v>
      </c>
      <c r="I299" s="197">
        <f>'Panal Board data'!G412</f>
        <v>166.99416737499999</v>
      </c>
      <c r="J299" s="170">
        <f t="shared" ref="J299:J304" si="19">ROUND((I299*H299),2)</f>
        <v>4341.8500000000004</v>
      </c>
      <c r="K299" s="161"/>
      <c r="L299" s="161"/>
      <c r="M299" s="151" t="s">
        <v>330</v>
      </c>
    </row>
    <row r="300" spans="1:13" ht="105.75" customHeight="1">
      <c r="A300" s="430">
        <v>55</v>
      </c>
      <c r="B300" s="317" t="s">
        <v>281</v>
      </c>
      <c r="C300" s="318"/>
      <c r="D300" s="318"/>
      <c r="E300" s="319"/>
      <c r="F300" s="141" t="s">
        <v>282</v>
      </c>
      <c r="G300" s="147"/>
      <c r="H300" s="143">
        <v>2</v>
      </c>
      <c r="I300" s="198">
        <f>'Panal Board data'!G421</f>
        <v>56110.040237999994</v>
      </c>
      <c r="J300" s="170">
        <f t="shared" si="19"/>
        <v>112220.08</v>
      </c>
      <c r="K300" s="161"/>
      <c r="L300" s="161"/>
      <c r="M300" s="151" t="s">
        <v>330</v>
      </c>
    </row>
    <row r="301" spans="1:13" ht="66.75" customHeight="1">
      <c r="A301" s="430">
        <v>56</v>
      </c>
      <c r="B301" s="317" t="s">
        <v>780</v>
      </c>
      <c r="C301" s="318"/>
      <c r="D301" s="318"/>
      <c r="E301" s="318"/>
      <c r="F301" s="141" t="s">
        <v>40</v>
      </c>
      <c r="G301" s="164"/>
      <c r="H301" s="185">
        <f>30</f>
        <v>30</v>
      </c>
      <c r="I301" s="185">
        <f>'Panal Board data'!G432</f>
        <v>403.79189671274997</v>
      </c>
      <c r="J301" s="170">
        <f t="shared" si="19"/>
        <v>12113.76</v>
      </c>
      <c r="K301" s="183"/>
      <c r="L301" s="161"/>
      <c r="M301" s="151" t="s">
        <v>330</v>
      </c>
    </row>
    <row r="302" spans="1:13" ht="62.25" customHeight="1">
      <c r="A302" s="430">
        <v>57</v>
      </c>
      <c r="B302" s="426" t="s">
        <v>969</v>
      </c>
      <c r="C302" s="427"/>
      <c r="D302" s="427"/>
      <c r="E302" s="427"/>
      <c r="F302" s="61" t="s">
        <v>23</v>
      </c>
      <c r="G302" s="235"/>
      <c r="H302" s="257">
        <f>'Panal board'!I171</f>
        <v>1</v>
      </c>
      <c r="I302" s="257">
        <f>'Panal Board data'!G440</f>
        <v>14250.948255447751</v>
      </c>
      <c r="J302" s="170">
        <f t="shared" si="19"/>
        <v>14250.95</v>
      </c>
      <c r="K302" s="567"/>
      <c r="L302" s="161"/>
      <c r="M302" s="151" t="s">
        <v>330</v>
      </c>
    </row>
    <row r="303" spans="1:13" ht="142.5" customHeight="1">
      <c r="A303" s="431">
        <v>58</v>
      </c>
      <c r="B303" s="328" t="s">
        <v>363</v>
      </c>
      <c r="C303" s="329"/>
      <c r="D303" s="329"/>
      <c r="E303" s="330"/>
      <c r="F303" s="141" t="s">
        <v>23</v>
      </c>
      <c r="G303" s="147"/>
      <c r="H303" s="143">
        <v>2</v>
      </c>
      <c r="I303" s="198">
        <f>'Panal Board data'!G450</f>
        <v>19615.468888202249</v>
      </c>
      <c r="J303" s="170">
        <f t="shared" si="19"/>
        <v>39230.94</v>
      </c>
      <c r="K303" s="161"/>
      <c r="L303" s="161"/>
      <c r="M303" s="151" t="s">
        <v>330</v>
      </c>
    </row>
    <row r="304" spans="1:13" ht="57.75" customHeight="1">
      <c r="A304" s="430">
        <v>59</v>
      </c>
      <c r="B304" s="331" t="s">
        <v>364</v>
      </c>
      <c r="C304" s="331"/>
      <c r="D304" s="331"/>
      <c r="E304" s="331"/>
      <c r="F304" s="151" t="s">
        <v>23</v>
      </c>
      <c r="G304" s="161"/>
      <c r="H304" s="143">
        <v>2</v>
      </c>
      <c r="I304" s="185">
        <f>'Panal Board data'!G459</f>
        <v>22828.770656832003</v>
      </c>
      <c r="J304" s="170">
        <f t="shared" si="19"/>
        <v>45657.54</v>
      </c>
      <c r="K304" s="161"/>
      <c r="L304" s="152"/>
      <c r="M304" s="151" t="s">
        <v>330</v>
      </c>
    </row>
    <row r="305" spans="1:13" ht="20.25">
      <c r="J305" s="568">
        <f>SUM(J187:J304)</f>
        <v>4603294.0123040751</v>
      </c>
    </row>
    <row r="306" spans="1:13" ht="17.25" thickBot="1">
      <c r="A306" s="432" t="s">
        <v>1025</v>
      </c>
      <c r="B306" s="433"/>
      <c r="C306" s="434">
        <f>J305+J184</f>
        <v>32258271.751867071</v>
      </c>
      <c r="D306" s="434"/>
      <c r="E306" s="434"/>
      <c r="F306" s="435"/>
      <c r="G306" s="433"/>
      <c r="H306" s="433"/>
      <c r="I306" s="433"/>
      <c r="J306" s="433"/>
      <c r="K306" s="436"/>
      <c r="L306" s="437"/>
      <c r="M306" s="439"/>
    </row>
    <row r="307" spans="1:13">
      <c r="A307" s="438" t="s">
        <v>1026</v>
      </c>
      <c r="B307" s="439"/>
      <c r="C307" s="440">
        <f>C306</f>
        <v>32258271.751867071</v>
      </c>
      <c r="D307" s="440"/>
      <c r="E307" s="440"/>
      <c r="F307" s="441"/>
      <c r="G307" s="433"/>
      <c r="H307" s="433"/>
      <c r="I307" s="433"/>
      <c r="J307" s="433"/>
      <c r="K307" s="436"/>
      <c r="L307" s="437"/>
      <c r="M307" s="439"/>
    </row>
    <row r="308" spans="1:13">
      <c r="A308" s="442" t="s">
        <v>1027</v>
      </c>
      <c r="B308" s="442"/>
      <c r="C308" s="443">
        <v>24755761.890000001</v>
      </c>
      <c r="D308" s="443"/>
      <c r="E308" s="443"/>
      <c r="F308" s="444"/>
      <c r="G308" s="433"/>
      <c r="H308" s="433"/>
      <c r="I308" s="433"/>
      <c r="J308" s="433"/>
      <c r="K308" s="436"/>
      <c r="L308" s="437"/>
      <c r="M308" s="439"/>
    </row>
    <row r="309" spans="1:13" ht="17.25" thickBot="1">
      <c r="A309" s="445" t="s">
        <v>1028</v>
      </c>
      <c r="B309" s="445"/>
      <c r="C309" s="434">
        <f>C307-C308</f>
        <v>7502509.8618670702</v>
      </c>
      <c r="D309" s="434"/>
      <c r="E309" s="434"/>
      <c r="F309" s="435"/>
      <c r="G309" s="433"/>
      <c r="H309" s="433"/>
      <c r="I309" s="433"/>
      <c r="J309" s="433"/>
      <c r="K309" s="436"/>
      <c r="L309" s="437"/>
      <c r="M309" s="439"/>
    </row>
    <row r="310" spans="1:13">
      <c r="A310" s="446" t="s">
        <v>1029</v>
      </c>
      <c r="B310" s="439"/>
      <c r="C310" s="447">
        <v>39500000</v>
      </c>
      <c r="D310" s="447"/>
      <c r="E310" s="447"/>
      <c r="F310" s="448"/>
      <c r="G310" s="433"/>
      <c r="H310" s="433"/>
      <c r="I310" s="433"/>
      <c r="J310" s="433"/>
      <c r="K310" s="436"/>
      <c r="L310" s="437"/>
      <c r="M310" s="439"/>
    </row>
    <row r="311" spans="1:13">
      <c r="A311" s="432"/>
      <c r="B311" s="439"/>
      <c r="C311" s="449"/>
      <c r="D311" s="450"/>
      <c r="E311" s="439"/>
      <c r="F311" s="439"/>
      <c r="G311" s="433"/>
      <c r="H311" s="433"/>
      <c r="I311" s="433"/>
      <c r="J311" s="433"/>
      <c r="K311" s="436"/>
      <c r="L311" s="437"/>
      <c r="M311" s="439"/>
    </row>
    <row r="312" spans="1:13">
      <c r="A312" s="432"/>
      <c r="B312" s="439"/>
      <c r="C312" s="449"/>
      <c r="D312" s="450"/>
      <c r="E312" s="439"/>
      <c r="F312" s="439"/>
      <c r="G312" s="433"/>
      <c r="H312" s="433"/>
      <c r="I312" s="433"/>
      <c r="J312" s="433"/>
      <c r="K312" s="436"/>
      <c r="L312" s="437"/>
      <c r="M312" s="439"/>
    </row>
    <row r="313" spans="1:13">
      <c r="A313" s="569" t="s">
        <v>1030</v>
      </c>
      <c r="B313" s="569"/>
      <c r="C313" s="439"/>
      <c r="D313" s="570" t="s">
        <v>1031</v>
      </c>
      <c r="E313" s="571"/>
      <c r="F313" s="571"/>
      <c r="G313" s="572"/>
      <c r="H313" s="433"/>
      <c r="I313" s="573" t="s">
        <v>1032</v>
      </c>
      <c r="J313" s="574"/>
      <c r="K313" s="574"/>
      <c r="L313" s="575"/>
      <c r="M313" s="439"/>
    </row>
    <row r="314" spans="1:13">
      <c r="A314" s="442" t="s">
        <v>1033</v>
      </c>
      <c r="B314" s="442"/>
      <c r="C314" s="439"/>
      <c r="D314" s="576" t="s">
        <v>1033</v>
      </c>
      <c r="E314" s="577"/>
      <c r="F314" s="577"/>
      <c r="G314" s="578"/>
      <c r="H314" s="433"/>
      <c r="I314" s="579" t="s">
        <v>1033</v>
      </c>
      <c r="J314" s="580"/>
      <c r="K314" s="580"/>
      <c r="L314" s="581"/>
      <c r="M314" s="439"/>
    </row>
  </sheetData>
  <autoFilter ref="M281:M284">
    <filterColumn colId="0">
      <colorFilter dxfId="0" cellColor="0"/>
    </filterColumn>
  </autoFilter>
  <mergeCells count="127">
    <mergeCell ref="I313:L313"/>
    <mergeCell ref="A314:B314"/>
    <mergeCell ref="D314:G314"/>
    <mergeCell ref="I314:L314"/>
    <mergeCell ref="B1:L1"/>
    <mergeCell ref="B2:L2"/>
    <mergeCell ref="C306:E306"/>
    <mergeCell ref="C307:E307"/>
    <mergeCell ref="A308:B308"/>
    <mergeCell ref="C308:E308"/>
    <mergeCell ref="A309:B309"/>
    <mergeCell ref="C309:E309"/>
    <mergeCell ref="C310:E310"/>
    <mergeCell ref="A313:B313"/>
    <mergeCell ref="D313:G313"/>
    <mergeCell ref="B289:E289"/>
    <mergeCell ref="B304:E304"/>
    <mergeCell ref="B303:E303"/>
    <mergeCell ref="B297:E297"/>
    <mergeCell ref="B298:E298"/>
    <mergeCell ref="B299:E299"/>
    <mergeCell ref="B300:E300"/>
    <mergeCell ref="B302:E302"/>
    <mergeCell ref="B301:E301"/>
    <mergeCell ref="B290:E290"/>
    <mergeCell ref="B291:E291"/>
    <mergeCell ref="B292:E292"/>
    <mergeCell ref="B293:E293"/>
    <mergeCell ref="B294:E294"/>
    <mergeCell ref="B295:E295"/>
    <mergeCell ref="B274:E274"/>
    <mergeCell ref="B275:E275"/>
    <mergeCell ref="B276:E276"/>
    <mergeCell ref="B277:E277"/>
    <mergeCell ref="B288:E288"/>
    <mergeCell ref="B284:E284"/>
    <mergeCell ref="B285:E285"/>
    <mergeCell ref="B286:E286"/>
    <mergeCell ref="B287:E287"/>
    <mergeCell ref="B278:E278"/>
    <mergeCell ref="B280:E280"/>
    <mergeCell ref="B281:E281"/>
    <mergeCell ref="B282:E282"/>
    <mergeCell ref="B283:E283"/>
    <mergeCell ref="B270:E270"/>
    <mergeCell ref="B271:E271"/>
    <mergeCell ref="B272:E272"/>
    <mergeCell ref="B273:E273"/>
    <mergeCell ref="B269:E269"/>
    <mergeCell ref="B264:E264"/>
    <mergeCell ref="B265:E265"/>
    <mergeCell ref="B266:E266"/>
    <mergeCell ref="B267:E267"/>
    <mergeCell ref="B268:E268"/>
    <mergeCell ref="B261:E261"/>
    <mergeCell ref="B262:E262"/>
    <mergeCell ref="B263:E263"/>
    <mergeCell ref="B248:E248"/>
    <mergeCell ref="B249:E249"/>
    <mergeCell ref="B250:E250"/>
    <mergeCell ref="B251:E251"/>
    <mergeCell ref="B253:E253"/>
    <mergeCell ref="B252:E252"/>
    <mergeCell ref="B256:E256"/>
    <mergeCell ref="A260:E260"/>
    <mergeCell ref="B255:E255"/>
    <mergeCell ref="B257:E257"/>
    <mergeCell ref="B258:E258"/>
    <mergeCell ref="B259:E259"/>
    <mergeCell ref="B245:E245"/>
    <mergeCell ref="B246:E246"/>
    <mergeCell ref="B247:E247"/>
    <mergeCell ref="B244:E244"/>
    <mergeCell ref="B219:E219"/>
    <mergeCell ref="B233:E233"/>
    <mergeCell ref="B234:E234"/>
    <mergeCell ref="B235:E235"/>
    <mergeCell ref="B237:E237"/>
    <mergeCell ref="B222:E222"/>
    <mergeCell ref="B225:E225"/>
    <mergeCell ref="B232:E232"/>
    <mergeCell ref="B221:E221"/>
    <mergeCell ref="B224:E224"/>
    <mergeCell ref="B227:E227"/>
    <mergeCell ref="B230:E230"/>
    <mergeCell ref="B223:E223"/>
    <mergeCell ref="B226:E226"/>
    <mergeCell ref="B229:E229"/>
    <mergeCell ref="B238:E238"/>
    <mergeCell ref="B239:E239"/>
    <mergeCell ref="B242:E242"/>
    <mergeCell ref="B243:E243"/>
    <mergeCell ref="B236:E236"/>
    <mergeCell ref="B206:E206"/>
    <mergeCell ref="B201:E201"/>
    <mergeCell ref="B202:E202"/>
    <mergeCell ref="B214:E214"/>
    <mergeCell ref="B216:E216"/>
    <mergeCell ref="B208:E208"/>
    <mergeCell ref="B203:E203"/>
    <mergeCell ref="B204:E204"/>
    <mergeCell ref="B209:E209"/>
    <mergeCell ref="B212:E212"/>
    <mergeCell ref="B215:E215"/>
    <mergeCell ref="B240:E240"/>
    <mergeCell ref="B241:E241"/>
    <mergeCell ref="B296:E296"/>
    <mergeCell ref="B254:E254"/>
    <mergeCell ref="C3:F3"/>
    <mergeCell ref="H3:J3"/>
    <mergeCell ref="D184:E184"/>
    <mergeCell ref="B186:E186"/>
    <mergeCell ref="A185:M185"/>
    <mergeCell ref="B210:E210"/>
    <mergeCell ref="B211:E211"/>
    <mergeCell ref="B217:E217"/>
    <mergeCell ref="B197:E197"/>
    <mergeCell ref="B199:E199"/>
    <mergeCell ref="B207:E207"/>
    <mergeCell ref="B187:E187"/>
    <mergeCell ref="B189:E189"/>
    <mergeCell ref="B191:E191"/>
    <mergeCell ref="B193:E193"/>
    <mergeCell ref="B195:E195"/>
    <mergeCell ref="B200:E200"/>
    <mergeCell ref="B218:E218"/>
    <mergeCell ref="B205:E205"/>
  </mergeCells>
  <pageMargins left="0.87" right="0.31" top="0.68" bottom="0.74803149606299213" header="0.31496062992125984" footer="0.31496062992125984"/>
  <pageSetup paperSize="5" scale="85" orientation="landscape" verticalDpi="0" r:id="rId1"/>
  <headerFooter>
    <oddHeader>&amp;R
FIS   PNO &amp;P</oddHeader>
  </headerFooter>
  <rowBreaks count="2" manualBreakCount="2">
    <brk id="184" max="12" man="1"/>
    <brk id="259" max="12" man="1"/>
  </rowBreaks>
</worksheet>
</file>

<file path=xl/worksheets/sheet8.xml><?xml version="1.0" encoding="utf-8"?>
<worksheet xmlns="http://schemas.openxmlformats.org/spreadsheetml/2006/main" xmlns:r="http://schemas.openxmlformats.org/officeDocument/2006/relationships">
  <dimension ref="A1:J377"/>
  <sheetViews>
    <sheetView view="pageBreakPreview" topLeftCell="A43" zoomScale="60" workbookViewId="0">
      <selection activeCell="F53" sqref="F53"/>
    </sheetView>
  </sheetViews>
  <sheetFormatPr defaultRowHeight="15"/>
  <cols>
    <col min="1" max="1" width="5.140625" style="585" customWidth="1"/>
    <col min="2" max="2" width="39.140625" style="585" customWidth="1"/>
    <col min="3" max="3" width="5.28515625" style="585" customWidth="1"/>
    <col min="4" max="4" width="9.140625" style="585"/>
    <col min="5" max="5" width="12.42578125" style="585" customWidth="1"/>
    <col min="6" max="6" width="16" style="585" customWidth="1"/>
    <col min="7" max="7" width="15.7109375" style="585" customWidth="1"/>
    <col min="8" max="8" width="10.140625" style="585" customWidth="1"/>
    <col min="9" max="9" width="9.140625" style="585"/>
    <col min="10" max="10" width="11.7109375" style="585" customWidth="1"/>
    <col min="11" max="16384" width="9.140625" style="585"/>
  </cols>
  <sheetData>
    <row r="1" spans="1:10" ht="42.75" customHeight="1">
      <c r="A1" s="673" t="s">
        <v>8</v>
      </c>
      <c r="B1" s="674"/>
      <c r="C1" s="674"/>
      <c r="D1" s="674"/>
      <c r="E1" s="674"/>
      <c r="F1" s="674"/>
      <c r="G1" s="674"/>
      <c r="H1" s="674"/>
      <c r="I1" s="674"/>
      <c r="J1" s="675"/>
    </row>
    <row r="2" spans="1:10" ht="18.75" customHeight="1">
      <c r="A2" s="586" t="s">
        <v>412</v>
      </c>
      <c r="B2" s="586"/>
      <c r="C2" s="586"/>
      <c r="D2" s="586"/>
      <c r="E2" s="586"/>
      <c r="F2" s="586"/>
      <c r="G2" s="586"/>
      <c r="H2" s="586"/>
      <c r="I2" s="586"/>
      <c r="J2" s="586"/>
    </row>
    <row r="3" spans="1:10" ht="18.75" customHeight="1">
      <c r="A3" s="587"/>
      <c r="B3" s="588" t="s">
        <v>414</v>
      </c>
      <c r="C3" s="589"/>
      <c r="D3" s="589"/>
      <c r="E3" s="589"/>
      <c r="F3" s="589"/>
      <c r="G3" s="589"/>
      <c r="H3" s="589"/>
      <c r="I3" s="589"/>
      <c r="J3" s="590"/>
    </row>
    <row r="4" spans="1:10" ht="69" customHeight="1">
      <c r="A4" s="45">
        <v>1</v>
      </c>
      <c r="B4" s="379" t="s">
        <v>413</v>
      </c>
      <c r="C4" s="379"/>
      <c r="D4" s="379"/>
      <c r="E4" s="379"/>
      <c r="F4" s="379"/>
      <c r="G4" s="379"/>
      <c r="H4" s="379"/>
      <c r="I4" s="379"/>
      <c r="J4" s="379"/>
    </row>
    <row r="5" spans="1:10" ht="21.75" customHeight="1">
      <c r="A5" s="45" t="s">
        <v>208</v>
      </c>
      <c r="B5" s="591" t="s">
        <v>650</v>
      </c>
      <c r="C5" s="221"/>
      <c r="D5" s="221"/>
      <c r="E5" s="221"/>
      <c r="F5" s="221"/>
      <c r="G5" s="221"/>
      <c r="H5" s="221"/>
      <c r="I5" s="231"/>
      <c r="J5" s="231"/>
    </row>
    <row r="6" spans="1:10" ht="21.75" customHeight="1">
      <c r="A6" s="45"/>
      <c r="B6" s="221" t="s">
        <v>900</v>
      </c>
      <c r="C6" s="46">
        <v>1</v>
      </c>
      <c r="D6" s="45" t="s">
        <v>2</v>
      </c>
      <c r="E6" s="46">
        <v>9426</v>
      </c>
      <c r="F6" s="45" t="s">
        <v>23</v>
      </c>
      <c r="G6" s="46">
        <f>ROUND((C6*E6),2)</f>
        <v>9426</v>
      </c>
      <c r="H6" s="370" t="s">
        <v>901</v>
      </c>
      <c r="I6" s="371"/>
      <c r="J6" s="372"/>
    </row>
    <row r="7" spans="1:10" ht="21.75" customHeight="1">
      <c r="A7" s="45"/>
      <c r="B7" s="221" t="s">
        <v>365</v>
      </c>
      <c r="C7" s="221"/>
      <c r="D7" s="221"/>
      <c r="E7" s="221"/>
      <c r="F7" s="221"/>
      <c r="G7" s="45">
        <f>G6*0.05</f>
        <v>471.3</v>
      </c>
      <c r="H7" s="221"/>
      <c r="I7" s="231"/>
      <c r="J7" s="231"/>
    </row>
    <row r="8" spans="1:10" ht="21.75" customHeight="1">
      <c r="A8" s="45"/>
      <c r="B8" s="221"/>
      <c r="C8" s="221"/>
      <c r="D8" s="221"/>
      <c r="E8" s="221"/>
      <c r="F8" s="221"/>
      <c r="G8" s="46">
        <f>SUM(G6:G7)</f>
        <v>9897.2999999999993</v>
      </c>
      <c r="H8" s="221"/>
      <c r="I8" s="231"/>
      <c r="J8" s="231"/>
    </row>
    <row r="9" spans="1:10" ht="21.75" customHeight="1">
      <c r="A9" s="45"/>
      <c r="B9" s="235" t="s">
        <v>366</v>
      </c>
      <c r="C9" s="221"/>
      <c r="D9" s="221"/>
      <c r="E9" s="221"/>
      <c r="F9" s="221"/>
      <c r="G9" s="46">
        <f>G8*0.13615</f>
        <v>1347.5173949999999</v>
      </c>
      <c r="H9" s="221"/>
      <c r="I9" s="231"/>
      <c r="J9" s="231"/>
    </row>
    <row r="10" spans="1:10" ht="21.75" customHeight="1">
      <c r="A10" s="45"/>
      <c r="B10" s="221"/>
      <c r="C10" s="221"/>
      <c r="D10" s="221"/>
      <c r="E10" s="221"/>
      <c r="F10" s="221"/>
      <c r="G10" s="55">
        <f>SUM(G8:G9)</f>
        <v>11244.817394999998</v>
      </c>
      <c r="H10" s="221"/>
      <c r="I10" s="231"/>
      <c r="J10" s="231"/>
    </row>
    <row r="11" spans="1:10" ht="21.75" customHeight="1">
      <c r="A11" s="45"/>
      <c r="B11" s="221" t="s">
        <v>411</v>
      </c>
      <c r="C11" s="221"/>
      <c r="D11" s="221"/>
      <c r="E11" s="221"/>
      <c r="F11" s="221"/>
      <c r="G11" s="46">
        <f>G10*0.1601</f>
        <v>1800.2952649394997</v>
      </c>
      <c r="H11" s="592"/>
      <c r="I11" s="231"/>
      <c r="J11" s="231"/>
    </row>
    <row r="12" spans="1:10" ht="19.5" customHeight="1">
      <c r="A12" s="45"/>
      <c r="B12" s="221"/>
      <c r="C12" s="221"/>
      <c r="D12" s="221"/>
      <c r="E12" s="221"/>
      <c r="F12" s="221"/>
      <c r="G12" s="593">
        <f>G10-G11</f>
        <v>9444.522130060499</v>
      </c>
      <c r="H12" s="594" t="s">
        <v>23</v>
      </c>
      <c r="I12" s="231"/>
      <c r="J12" s="231"/>
    </row>
    <row r="13" spans="1:10" ht="18.75" customHeight="1">
      <c r="A13" s="45" t="s">
        <v>209</v>
      </c>
      <c r="B13" s="591" t="s">
        <v>651</v>
      </c>
      <c r="C13" s="221"/>
      <c r="D13" s="221"/>
      <c r="E13" s="221"/>
      <c r="F13" s="221"/>
      <c r="G13" s="221"/>
      <c r="H13" s="221"/>
      <c r="I13" s="221"/>
      <c r="J13" s="221"/>
    </row>
    <row r="14" spans="1:10" ht="18.75" customHeight="1">
      <c r="A14" s="45"/>
      <c r="B14" s="221" t="s">
        <v>900</v>
      </c>
      <c r="C14" s="46">
        <v>1</v>
      </c>
      <c r="D14" s="45" t="s">
        <v>2</v>
      </c>
      <c r="E14" s="46">
        <v>19577</v>
      </c>
      <c r="F14" s="45" t="s">
        <v>23</v>
      </c>
      <c r="G14" s="46">
        <f>ROUND((C14*E14),2)</f>
        <v>19577</v>
      </c>
      <c r="H14" s="370" t="s">
        <v>901</v>
      </c>
      <c r="I14" s="371"/>
      <c r="J14" s="372"/>
    </row>
    <row r="15" spans="1:10" ht="18.75" customHeight="1">
      <c r="A15" s="45"/>
      <c r="B15" s="221" t="s">
        <v>365</v>
      </c>
      <c r="C15" s="221"/>
      <c r="D15" s="221"/>
      <c r="E15" s="221"/>
      <c r="F15" s="221"/>
      <c r="G15" s="45">
        <f>G14*0.05</f>
        <v>978.85</v>
      </c>
      <c r="H15" s="221"/>
      <c r="I15" s="221"/>
      <c r="J15" s="221"/>
    </row>
    <row r="16" spans="1:10" ht="18.75" customHeight="1">
      <c r="A16" s="45"/>
      <c r="B16" s="221"/>
      <c r="C16" s="221"/>
      <c r="D16" s="221"/>
      <c r="E16" s="221"/>
      <c r="F16" s="221"/>
      <c r="G16" s="46">
        <f>SUM(G14:G15)</f>
        <v>20555.849999999999</v>
      </c>
      <c r="H16" s="221"/>
      <c r="I16" s="221"/>
      <c r="J16" s="221"/>
    </row>
    <row r="17" spans="1:10" ht="18.75" customHeight="1">
      <c r="A17" s="45"/>
      <c r="B17" s="235" t="s">
        <v>366</v>
      </c>
      <c r="C17" s="221"/>
      <c r="D17" s="221"/>
      <c r="E17" s="221"/>
      <c r="F17" s="221"/>
      <c r="G17" s="46">
        <f>G16*0.13615</f>
        <v>2798.6789774999997</v>
      </c>
      <c r="H17" s="221"/>
      <c r="I17" s="221"/>
      <c r="J17" s="221"/>
    </row>
    <row r="18" spans="1:10" ht="18.75" customHeight="1">
      <c r="A18" s="45"/>
      <c r="B18" s="221"/>
      <c r="C18" s="221"/>
      <c r="D18" s="221"/>
      <c r="E18" s="221"/>
      <c r="F18" s="221"/>
      <c r="G18" s="55">
        <f>SUM(G16:G17)</f>
        <v>23354.528977499998</v>
      </c>
      <c r="H18" s="221"/>
      <c r="I18" s="221"/>
      <c r="J18" s="221"/>
    </row>
    <row r="19" spans="1:10" ht="18.75" customHeight="1">
      <c r="A19" s="45"/>
      <c r="B19" s="221" t="s">
        <v>411</v>
      </c>
      <c r="C19" s="221"/>
      <c r="D19" s="221"/>
      <c r="E19" s="221"/>
      <c r="F19" s="221"/>
      <c r="G19" s="46">
        <f>G18*0.1601</f>
        <v>3739.0600892977495</v>
      </c>
      <c r="H19" s="592"/>
      <c r="I19" s="591"/>
      <c r="J19" s="221"/>
    </row>
    <row r="20" spans="1:10" ht="18.75" customHeight="1">
      <c r="A20" s="45"/>
      <c r="B20" s="221"/>
      <c r="C20" s="221"/>
      <c r="D20" s="221"/>
      <c r="E20" s="221"/>
      <c r="F20" s="221"/>
      <c r="G20" s="593">
        <f>G18-G19</f>
        <v>19615.468888202249</v>
      </c>
      <c r="H20" s="594" t="s">
        <v>23</v>
      </c>
      <c r="I20" s="591"/>
      <c r="J20" s="221"/>
    </row>
    <row r="21" spans="1:10" ht="18.75" customHeight="1">
      <c r="A21" s="45" t="s">
        <v>652</v>
      </c>
      <c r="B21" s="591" t="s">
        <v>653</v>
      </c>
      <c r="C21" s="221"/>
      <c r="D21" s="221"/>
      <c r="E21" s="221"/>
      <c r="F21" s="221"/>
      <c r="G21" s="221"/>
      <c r="H21" s="221"/>
      <c r="I21" s="221"/>
      <c r="J21" s="221"/>
    </row>
    <row r="22" spans="1:10" ht="18.75" customHeight="1">
      <c r="A22" s="221"/>
      <c r="B22" s="221" t="s">
        <v>902</v>
      </c>
      <c r="C22" s="46">
        <v>1</v>
      </c>
      <c r="D22" s="45" t="s">
        <v>2</v>
      </c>
      <c r="E22" s="46">
        <v>216249</v>
      </c>
      <c r="F22" s="45" t="s">
        <v>23</v>
      </c>
      <c r="G22" s="46">
        <f>ROUND((C22*E22),2)</f>
        <v>216249</v>
      </c>
      <c r="H22" s="370" t="s">
        <v>901</v>
      </c>
      <c r="I22" s="371"/>
      <c r="J22" s="372"/>
    </row>
    <row r="23" spans="1:10" ht="18.75" customHeight="1">
      <c r="A23" s="221"/>
      <c r="B23" s="221" t="s">
        <v>365</v>
      </c>
      <c r="C23" s="221"/>
      <c r="D23" s="221"/>
      <c r="E23" s="221"/>
      <c r="F23" s="221"/>
      <c r="G23" s="45">
        <f>G22*0.05</f>
        <v>10812.45</v>
      </c>
      <c r="H23" s="221"/>
      <c r="I23" s="221"/>
      <c r="J23" s="221"/>
    </row>
    <row r="24" spans="1:10" ht="18.75" customHeight="1">
      <c r="A24" s="221"/>
      <c r="B24" s="221"/>
      <c r="C24" s="221"/>
      <c r="D24" s="221"/>
      <c r="E24" s="221"/>
      <c r="F24" s="221"/>
      <c r="G24" s="46">
        <f>SUM(G22:G23)</f>
        <v>227061.45</v>
      </c>
      <c r="H24" s="221"/>
      <c r="I24" s="221"/>
      <c r="J24" s="221"/>
    </row>
    <row r="25" spans="1:10" ht="18.75" customHeight="1">
      <c r="A25" s="221"/>
      <c r="B25" s="235" t="s">
        <v>366</v>
      </c>
      <c r="C25" s="221"/>
      <c r="D25" s="221"/>
      <c r="E25" s="221"/>
      <c r="F25" s="221"/>
      <c r="G25" s="46">
        <f>G24*0.13615</f>
        <v>30914.416417500001</v>
      </c>
      <c r="H25" s="221"/>
      <c r="I25" s="221"/>
      <c r="J25" s="221"/>
    </row>
    <row r="26" spans="1:10" ht="18.75" customHeight="1">
      <c r="A26" s="221"/>
      <c r="B26" s="221"/>
      <c r="C26" s="221"/>
      <c r="D26" s="221"/>
      <c r="E26" s="221"/>
      <c r="F26" s="221"/>
      <c r="G26" s="46">
        <f>SUM(G24:G25)</f>
        <v>257975.86641750002</v>
      </c>
      <c r="H26" s="221"/>
      <c r="I26" s="221"/>
      <c r="J26" s="221"/>
    </row>
    <row r="27" spans="1:10" ht="18.75" customHeight="1">
      <c r="A27" s="221"/>
      <c r="B27" s="221" t="s">
        <v>411</v>
      </c>
      <c r="C27" s="221"/>
      <c r="D27" s="221"/>
      <c r="E27" s="221"/>
      <c r="F27" s="221"/>
      <c r="G27" s="46">
        <f>G26*0.1601</f>
        <v>41301.936213441753</v>
      </c>
      <c r="H27" s="592"/>
      <c r="I27" s="221"/>
      <c r="J27" s="221"/>
    </row>
    <row r="28" spans="1:10" ht="18.75" customHeight="1">
      <c r="A28" s="221"/>
      <c r="B28" s="221"/>
      <c r="C28" s="221"/>
      <c r="D28" s="221"/>
      <c r="E28" s="221"/>
      <c r="F28" s="221"/>
      <c r="G28" s="593">
        <f>G26-G27</f>
        <v>216673.93020405827</v>
      </c>
      <c r="H28" s="594" t="s">
        <v>23</v>
      </c>
      <c r="I28" s="221"/>
      <c r="J28" s="221"/>
    </row>
    <row r="29" spans="1:10" ht="31.5" customHeight="1">
      <c r="A29" s="45">
        <v>2</v>
      </c>
      <c r="B29" s="595" t="s">
        <v>206</v>
      </c>
      <c r="C29" s="596"/>
      <c r="D29" s="596"/>
      <c r="E29" s="596"/>
      <c r="F29" s="596"/>
      <c r="G29" s="596"/>
      <c r="H29" s="596"/>
      <c r="I29" s="596"/>
      <c r="J29" s="597"/>
    </row>
    <row r="30" spans="1:10" ht="18.75" customHeight="1">
      <c r="A30" s="45" t="s">
        <v>208</v>
      </c>
      <c r="B30" s="591" t="s">
        <v>650</v>
      </c>
      <c r="C30" s="221"/>
      <c r="D30" s="221"/>
      <c r="E30" s="221"/>
      <c r="F30" s="221"/>
      <c r="G30" s="593"/>
      <c r="H30" s="594"/>
      <c r="I30" s="221"/>
      <c r="J30" s="221"/>
    </row>
    <row r="31" spans="1:10" ht="18.75" customHeight="1">
      <c r="A31" s="221"/>
      <c r="B31" s="221" t="s">
        <v>792</v>
      </c>
      <c r="C31" s="221"/>
      <c r="D31" s="221"/>
      <c r="E31" s="221"/>
      <c r="F31" s="221"/>
      <c r="G31" s="593"/>
      <c r="H31" s="594"/>
      <c r="I31" s="221"/>
      <c r="J31" s="221"/>
    </row>
    <row r="32" spans="1:10" ht="34.5" customHeight="1">
      <c r="A32" s="221"/>
      <c r="B32" s="235" t="s">
        <v>793</v>
      </c>
      <c r="C32" s="45" t="s">
        <v>748</v>
      </c>
      <c r="D32" s="45">
        <v>35.47</v>
      </c>
      <c r="E32" s="45">
        <v>2.57</v>
      </c>
      <c r="F32" s="45" t="s">
        <v>789</v>
      </c>
      <c r="G32" s="55">
        <f>E32*D32</f>
        <v>91.157899999999998</v>
      </c>
      <c r="H32" s="594"/>
      <c r="I32" s="594"/>
      <c r="J32" s="594"/>
    </row>
    <row r="33" spans="1:10" ht="32.25" customHeight="1">
      <c r="A33" s="221"/>
      <c r="B33" s="598" t="s">
        <v>790</v>
      </c>
      <c r="C33" s="221"/>
      <c r="D33" s="45">
        <v>0.13614999999999999</v>
      </c>
      <c r="E33" s="221"/>
      <c r="F33" s="221"/>
      <c r="G33" s="55">
        <f>G32*0.13615</f>
        <v>12.411148084999999</v>
      </c>
      <c r="H33" s="594"/>
      <c r="I33" s="221"/>
      <c r="J33" s="221"/>
    </row>
    <row r="34" spans="1:10" ht="19.5" customHeight="1">
      <c r="A34" s="221"/>
      <c r="B34" s="598"/>
      <c r="C34" s="221"/>
      <c r="D34" s="221"/>
      <c r="E34" s="221"/>
      <c r="F34" s="221"/>
      <c r="G34" s="55">
        <f>SUM(G32:G33)</f>
        <v>103.56904808499999</v>
      </c>
      <c r="I34" s="221"/>
      <c r="J34" s="221"/>
    </row>
    <row r="35" spans="1:10" ht="19.5" customHeight="1">
      <c r="A35" s="221"/>
      <c r="B35" s="235" t="s">
        <v>791</v>
      </c>
      <c r="C35" s="221"/>
      <c r="D35" s="45">
        <v>0.16009999999999999</v>
      </c>
      <c r="E35" s="221"/>
      <c r="F35" s="221"/>
      <c r="G35" s="55">
        <f>G34*D35</f>
        <v>16.581404598408497</v>
      </c>
      <c r="H35" s="594"/>
      <c r="I35" s="221"/>
      <c r="J35" s="221"/>
    </row>
    <row r="36" spans="1:10" ht="18.75" customHeight="1">
      <c r="A36" s="221"/>
      <c r="B36" s="221"/>
      <c r="C36" s="221"/>
      <c r="D36" s="221"/>
      <c r="E36" s="221"/>
      <c r="F36" s="221"/>
      <c r="G36" s="593">
        <f>G34-G35</f>
        <v>86.987643486591494</v>
      </c>
      <c r="H36" s="594" t="s">
        <v>279</v>
      </c>
      <c r="I36" s="221"/>
      <c r="J36" s="221"/>
    </row>
    <row r="37" spans="1:10" ht="18.75" customHeight="1">
      <c r="A37" s="45" t="s">
        <v>209</v>
      </c>
      <c r="B37" s="591" t="s">
        <v>787</v>
      </c>
      <c r="C37" s="221"/>
      <c r="D37" s="221"/>
      <c r="E37" s="221"/>
      <c r="F37" s="221"/>
      <c r="G37" s="593"/>
      <c r="H37" s="594"/>
      <c r="I37" s="221"/>
      <c r="J37" s="221"/>
    </row>
    <row r="38" spans="1:10" ht="18.75" customHeight="1">
      <c r="A38" s="221"/>
      <c r="B38" s="591" t="s">
        <v>699</v>
      </c>
      <c r="C38" s="221"/>
      <c r="D38" s="221"/>
      <c r="E38" s="221"/>
      <c r="F38" s="221"/>
      <c r="G38" s="593"/>
      <c r="H38" s="594"/>
      <c r="I38" s="221"/>
      <c r="J38" s="221"/>
    </row>
    <row r="39" spans="1:10" ht="30" customHeight="1">
      <c r="A39" s="221"/>
      <c r="B39" s="598" t="s">
        <v>788</v>
      </c>
      <c r="C39" s="45" t="s">
        <v>748</v>
      </c>
      <c r="D39" s="45">
        <v>79.83</v>
      </c>
      <c r="E39" s="45">
        <v>2.57</v>
      </c>
      <c r="F39" s="45" t="s">
        <v>789</v>
      </c>
      <c r="G39" s="55">
        <f>E39*D39</f>
        <v>205.16309999999999</v>
      </c>
      <c r="H39" s="594"/>
      <c r="I39" s="594"/>
      <c r="J39" s="594"/>
    </row>
    <row r="40" spans="1:10" ht="28.5" customHeight="1">
      <c r="A40" s="221"/>
      <c r="B40" s="598" t="s">
        <v>790</v>
      </c>
      <c r="C40" s="221"/>
      <c r="D40" s="45">
        <v>0.13614999999999999</v>
      </c>
      <c r="E40" s="221"/>
      <c r="F40" s="221"/>
      <c r="G40" s="55">
        <f>G39*0.13615</f>
        <v>27.932956064999996</v>
      </c>
      <c r="H40" s="594"/>
      <c r="I40" s="221"/>
      <c r="J40" s="221"/>
    </row>
    <row r="41" spans="1:10" ht="21" customHeight="1">
      <c r="A41" s="221"/>
      <c r="B41" s="598"/>
      <c r="C41" s="221"/>
      <c r="D41" s="221"/>
      <c r="E41" s="221"/>
      <c r="F41" s="221"/>
      <c r="G41" s="55">
        <f>SUM(G39:G40)</f>
        <v>233.09605606499997</v>
      </c>
      <c r="I41" s="221"/>
      <c r="J41" s="221"/>
    </row>
    <row r="42" spans="1:10" ht="21" customHeight="1">
      <c r="A42" s="221"/>
      <c r="B42" s="235" t="s">
        <v>791</v>
      </c>
      <c r="C42" s="221"/>
      <c r="D42" s="45">
        <v>0.16009999999999999</v>
      </c>
      <c r="E42" s="221"/>
      <c r="F42" s="221"/>
      <c r="G42" s="55">
        <f>G41*D42</f>
        <v>37.318678576006491</v>
      </c>
      <c r="H42" s="594"/>
      <c r="I42" s="221"/>
      <c r="J42" s="221"/>
    </row>
    <row r="43" spans="1:10" ht="18.75" customHeight="1">
      <c r="A43" s="221"/>
      <c r="B43" s="221"/>
      <c r="C43" s="221"/>
      <c r="D43" s="221"/>
      <c r="E43" s="221"/>
      <c r="F43" s="221"/>
      <c r="G43" s="593">
        <f>G41-G42</f>
        <v>195.77737748899347</v>
      </c>
      <c r="H43" s="594" t="s">
        <v>279</v>
      </c>
      <c r="I43" s="221"/>
      <c r="J43" s="221"/>
    </row>
    <row r="44" spans="1:10" ht="18.75" customHeight="1">
      <c r="A44" s="599" t="s">
        <v>210</v>
      </c>
      <c r="B44" s="600" t="s">
        <v>811</v>
      </c>
      <c r="C44" s="601"/>
      <c r="D44" s="601"/>
      <c r="E44" s="601"/>
      <c r="F44" s="601"/>
      <c r="G44" s="602"/>
      <c r="H44" s="603"/>
      <c r="I44" s="601"/>
      <c r="J44" s="604"/>
    </row>
    <row r="45" spans="1:10" ht="18.75" customHeight="1">
      <c r="A45" s="599"/>
      <c r="B45" s="591" t="s">
        <v>699</v>
      </c>
      <c r="C45" s="221"/>
      <c r="D45" s="221"/>
      <c r="E45" s="221"/>
      <c r="F45" s="221"/>
      <c r="G45" s="593"/>
      <c r="H45" s="594"/>
      <c r="I45" s="221"/>
      <c r="J45" s="221"/>
    </row>
    <row r="46" spans="1:10" ht="46.5" customHeight="1">
      <c r="A46" s="599"/>
      <c r="B46" s="235" t="s">
        <v>951</v>
      </c>
      <c r="C46" s="45" t="s">
        <v>748</v>
      </c>
      <c r="D46" s="45">
        <v>266.45999999999998</v>
      </c>
      <c r="E46" s="45">
        <v>2.57</v>
      </c>
      <c r="F46" s="45" t="s">
        <v>789</v>
      </c>
      <c r="G46" s="55">
        <f>E46*D46</f>
        <v>684.80219999999986</v>
      </c>
      <c r="H46" s="594"/>
      <c r="I46" s="594"/>
      <c r="J46" s="594"/>
    </row>
    <row r="47" spans="1:10" ht="18.75" customHeight="1">
      <c r="A47" s="599"/>
      <c r="B47" s="598" t="s">
        <v>790</v>
      </c>
      <c r="C47" s="221"/>
      <c r="D47" s="45">
        <v>0.13614999999999999</v>
      </c>
      <c r="E47" s="221"/>
      <c r="F47" s="221"/>
      <c r="G47" s="55">
        <f>G46*0.13615</f>
        <v>93.235819529999972</v>
      </c>
      <c r="H47" s="594"/>
      <c r="I47" s="221"/>
      <c r="J47" s="221"/>
    </row>
    <row r="48" spans="1:10" ht="18.75" customHeight="1">
      <c r="A48" s="599"/>
      <c r="B48" s="598"/>
      <c r="C48" s="221"/>
      <c r="D48" s="221"/>
      <c r="E48" s="221"/>
      <c r="F48" s="221"/>
      <c r="G48" s="55">
        <f>SUM(G46:G47)</f>
        <v>778.03801952999981</v>
      </c>
      <c r="H48" s="585" t="s">
        <v>279</v>
      </c>
      <c r="I48" s="221"/>
      <c r="J48" s="221"/>
    </row>
    <row r="49" spans="1:10" ht="18.75" customHeight="1">
      <c r="A49" s="599"/>
      <c r="B49" s="235" t="s">
        <v>791</v>
      </c>
      <c r="C49" s="221"/>
      <c r="D49" s="45">
        <v>0.16009999999999999</v>
      </c>
      <c r="E49" s="221"/>
      <c r="F49" s="221"/>
      <c r="G49" s="55">
        <f>G48*D49</f>
        <v>124.56388692675297</v>
      </c>
      <c r="H49" s="594"/>
      <c r="I49" s="221"/>
      <c r="J49" s="221"/>
    </row>
    <row r="50" spans="1:10" ht="18.75" customHeight="1">
      <c r="A50" s="599"/>
      <c r="B50" s="221"/>
      <c r="C50" s="221"/>
      <c r="D50" s="221"/>
      <c r="E50" s="221"/>
      <c r="F50" s="221"/>
      <c r="G50" s="593">
        <f>G48-G49</f>
        <v>653.47413260324686</v>
      </c>
      <c r="H50" s="594" t="s">
        <v>279</v>
      </c>
      <c r="I50" s="221"/>
      <c r="J50" s="221"/>
    </row>
    <row r="51" spans="1:10" ht="2.25" customHeight="1">
      <c r="A51" s="599"/>
      <c r="B51" s="600"/>
      <c r="C51" s="601"/>
      <c r="D51" s="601"/>
      <c r="E51" s="601"/>
      <c r="F51" s="601"/>
      <c r="G51" s="602"/>
      <c r="H51" s="603"/>
      <c r="I51" s="601"/>
      <c r="J51" s="604"/>
    </row>
    <row r="52" spans="1:10" ht="49.5" customHeight="1">
      <c r="A52" s="45">
        <v>3</v>
      </c>
      <c r="B52" s="605" t="s">
        <v>207</v>
      </c>
      <c r="C52" s="606"/>
      <c r="D52" s="606"/>
      <c r="E52" s="606"/>
      <c r="F52" s="606"/>
      <c r="G52" s="606"/>
      <c r="H52" s="606"/>
      <c r="I52" s="606"/>
      <c r="J52" s="607"/>
    </row>
    <row r="53" spans="1:10" ht="20.25" customHeight="1">
      <c r="A53" s="221"/>
      <c r="B53" s="608" t="s">
        <v>807</v>
      </c>
      <c r="C53" s="609"/>
      <c r="D53" s="609"/>
      <c r="E53" s="609"/>
      <c r="F53" s="609"/>
      <c r="G53" s="609"/>
      <c r="H53" s="609"/>
      <c r="I53" s="609"/>
      <c r="J53" s="610"/>
    </row>
    <row r="54" spans="1:10" ht="18" customHeight="1">
      <c r="A54" s="45" t="s">
        <v>208</v>
      </c>
      <c r="B54" s="591" t="s">
        <v>794</v>
      </c>
      <c r="C54" s="221"/>
      <c r="D54" s="221"/>
      <c r="E54" s="221"/>
      <c r="F54" s="221"/>
      <c r="G54" s="593"/>
      <c r="H54" s="611"/>
      <c r="I54" s="612"/>
      <c r="J54" s="613"/>
    </row>
    <row r="55" spans="1:10" ht="18" customHeight="1">
      <c r="A55" s="221"/>
      <c r="B55" s="591" t="s">
        <v>792</v>
      </c>
      <c r="G55" s="593"/>
      <c r="H55" s="594"/>
      <c r="I55" s="221"/>
      <c r="J55" s="221"/>
    </row>
    <row r="56" spans="1:10" ht="18" customHeight="1">
      <c r="A56" s="221"/>
      <c r="B56" s="614" t="s">
        <v>795</v>
      </c>
      <c r="C56" s="221" t="s">
        <v>136</v>
      </c>
      <c r="D56" s="46">
        <v>0.09</v>
      </c>
      <c r="E56" s="46">
        <v>540</v>
      </c>
      <c r="F56" s="221" t="s">
        <v>136</v>
      </c>
      <c r="G56" s="55">
        <f>E56*D56</f>
        <v>48.6</v>
      </c>
      <c r="H56" s="594"/>
      <c r="I56" s="594"/>
      <c r="J56" s="594"/>
    </row>
    <row r="57" spans="1:10" ht="18" customHeight="1">
      <c r="A57" s="221"/>
      <c r="B57" s="614" t="s">
        <v>796</v>
      </c>
      <c r="C57" s="221" t="s">
        <v>136</v>
      </c>
      <c r="D57" s="46">
        <v>0.21</v>
      </c>
      <c r="E57" s="46">
        <v>450</v>
      </c>
      <c r="F57" s="221" t="s">
        <v>136</v>
      </c>
      <c r="G57" s="55">
        <f t="shared" ref="G57:G64" si="0">E57*D57</f>
        <v>94.5</v>
      </c>
      <c r="H57" s="594"/>
      <c r="I57" s="221"/>
      <c r="J57" s="221"/>
    </row>
    <row r="58" spans="1:10" ht="18" customHeight="1">
      <c r="A58" s="221"/>
      <c r="B58" s="614" t="s">
        <v>797</v>
      </c>
      <c r="C58" s="221" t="s">
        <v>136</v>
      </c>
      <c r="D58" s="46">
        <v>0.8</v>
      </c>
      <c r="E58" s="46">
        <v>425</v>
      </c>
      <c r="F58" s="221" t="s">
        <v>136</v>
      </c>
      <c r="G58" s="55">
        <f t="shared" si="0"/>
        <v>340</v>
      </c>
      <c r="H58" s="594"/>
      <c r="I58" s="221"/>
      <c r="J58" s="221"/>
    </row>
    <row r="59" spans="1:10" ht="18" customHeight="1">
      <c r="A59" s="221"/>
      <c r="B59" s="614" t="s">
        <v>765</v>
      </c>
      <c r="C59" s="221"/>
      <c r="D59" s="46">
        <v>0</v>
      </c>
      <c r="E59" s="46">
        <v>483.1</v>
      </c>
      <c r="F59" s="46"/>
      <c r="G59" s="55">
        <f t="shared" si="0"/>
        <v>0</v>
      </c>
      <c r="H59" s="594"/>
      <c r="I59" s="221"/>
      <c r="J59" s="221"/>
    </row>
    <row r="60" spans="1:10" ht="18" customHeight="1">
      <c r="A60" s="221"/>
      <c r="B60" s="591" t="s">
        <v>798</v>
      </c>
      <c r="C60" s="221"/>
      <c r="D60" s="46"/>
      <c r="E60" s="46"/>
      <c r="F60" s="46"/>
      <c r="G60" s="55">
        <f t="shared" si="0"/>
        <v>0</v>
      </c>
      <c r="H60" s="594"/>
      <c r="I60" s="221"/>
      <c r="J60" s="221"/>
    </row>
    <row r="61" spans="1:10" ht="18" customHeight="1">
      <c r="A61" s="221"/>
      <c r="B61" s="614" t="s">
        <v>799</v>
      </c>
      <c r="C61" s="221" t="s">
        <v>789</v>
      </c>
      <c r="D61" s="46">
        <v>6.8</v>
      </c>
      <c r="E61" s="46">
        <v>60.5</v>
      </c>
      <c r="F61" s="221" t="s">
        <v>789</v>
      </c>
      <c r="G61" s="55">
        <f t="shared" si="0"/>
        <v>411.4</v>
      </c>
      <c r="H61" s="594"/>
      <c r="I61" s="221"/>
      <c r="J61" s="221"/>
    </row>
    <row r="62" spans="1:10" ht="18" customHeight="1">
      <c r="A62" s="221"/>
      <c r="B62" s="614" t="s">
        <v>800</v>
      </c>
      <c r="C62" s="221" t="s">
        <v>789</v>
      </c>
      <c r="D62" s="46">
        <v>2.125</v>
      </c>
      <c r="E62" s="46">
        <v>107.69</v>
      </c>
      <c r="F62" s="221" t="s">
        <v>789</v>
      </c>
      <c r="G62" s="55">
        <f t="shared" si="0"/>
        <v>228.84125</v>
      </c>
      <c r="H62" s="594"/>
      <c r="I62" s="221"/>
      <c r="J62" s="221"/>
    </row>
    <row r="63" spans="1:10" ht="18" customHeight="1">
      <c r="A63" s="221"/>
      <c r="B63" s="614" t="s">
        <v>801</v>
      </c>
      <c r="C63" s="221"/>
      <c r="D63" s="46"/>
      <c r="E63" s="46"/>
      <c r="F63" s="221"/>
      <c r="G63" s="55">
        <f t="shared" si="0"/>
        <v>0</v>
      </c>
      <c r="H63" s="594"/>
      <c r="I63" s="221"/>
      <c r="J63" s="221"/>
    </row>
    <row r="64" spans="1:10" ht="18" customHeight="1">
      <c r="A64" s="221"/>
      <c r="B64" s="591" t="s">
        <v>802</v>
      </c>
      <c r="C64" s="221" t="s">
        <v>806</v>
      </c>
      <c r="D64" s="46">
        <v>27.5</v>
      </c>
      <c r="E64" s="46">
        <v>4.5599999999999996</v>
      </c>
      <c r="F64" s="221" t="s">
        <v>806</v>
      </c>
      <c r="G64" s="55">
        <f t="shared" si="0"/>
        <v>125.39999999999999</v>
      </c>
      <c r="H64" s="594"/>
      <c r="I64" s="221"/>
      <c r="J64" s="221"/>
    </row>
    <row r="65" spans="1:10" ht="18.75" customHeight="1">
      <c r="A65" s="221"/>
      <c r="B65" s="221" t="s">
        <v>803</v>
      </c>
      <c r="C65" s="221"/>
      <c r="D65" s="46"/>
      <c r="E65" s="46"/>
      <c r="F65" s="46"/>
      <c r="G65" s="55">
        <f>SUM(G56:G64)</f>
        <v>1248.74125</v>
      </c>
      <c r="H65" s="594"/>
      <c r="I65" s="221"/>
      <c r="J65" s="221"/>
    </row>
    <row r="66" spans="1:10" ht="18.75" customHeight="1">
      <c r="A66" s="221"/>
      <c r="B66" s="221" t="s">
        <v>804</v>
      </c>
      <c r="C66" s="221"/>
      <c r="D66" s="46">
        <v>0.01</v>
      </c>
      <c r="E66" s="46">
        <f>G56+G57+G58+G64</f>
        <v>608.5</v>
      </c>
      <c r="F66" s="46"/>
      <c r="G66" s="55">
        <f>E66*0.01</f>
        <v>6.085</v>
      </c>
      <c r="H66" s="594"/>
      <c r="I66" s="221"/>
      <c r="J66" s="221"/>
    </row>
    <row r="67" spans="1:10" ht="18.75" customHeight="1">
      <c r="A67" s="221"/>
      <c r="B67" s="221" t="s">
        <v>805</v>
      </c>
      <c r="C67" s="221"/>
      <c r="D67" s="46"/>
      <c r="E67" s="46"/>
      <c r="F67" s="46"/>
      <c r="G67" s="55">
        <f>SUM(G65:G66)</f>
        <v>1254.8262500000001</v>
      </c>
      <c r="H67" s="594"/>
      <c r="I67" s="221"/>
      <c r="J67" s="221"/>
    </row>
    <row r="68" spans="1:10" ht="18.75" customHeight="1">
      <c r="A68" s="221"/>
      <c r="B68" s="600" t="s">
        <v>790</v>
      </c>
      <c r="C68" s="221"/>
      <c r="D68" s="46"/>
      <c r="E68" s="46"/>
      <c r="F68" s="46"/>
      <c r="G68" s="55">
        <f>G67*0.13615</f>
        <v>170.84459393750001</v>
      </c>
      <c r="H68" s="594"/>
      <c r="I68" s="221"/>
      <c r="J68" s="604"/>
    </row>
    <row r="69" spans="1:10" ht="18.75" customHeight="1">
      <c r="A69" s="221"/>
      <c r="B69" s="600" t="s">
        <v>808</v>
      </c>
      <c r="C69" s="221"/>
      <c r="D69" s="615">
        <v>0.13614999999999999</v>
      </c>
      <c r="E69" s="46"/>
      <c r="F69" s="46"/>
      <c r="G69" s="55">
        <f>SUM(G67:G68)</f>
        <v>1425.6708439375002</v>
      </c>
      <c r="H69" s="594"/>
      <c r="I69" s="221"/>
      <c r="J69" s="604"/>
    </row>
    <row r="70" spans="1:10" ht="18.75" customHeight="1">
      <c r="A70" s="221"/>
      <c r="B70" s="600" t="s">
        <v>809</v>
      </c>
      <c r="C70" s="221"/>
      <c r="D70" s="616"/>
      <c r="E70" s="616"/>
      <c r="F70" s="46"/>
      <c r="G70" s="55">
        <f>G69/10</f>
        <v>142.56708439375001</v>
      </c>
      <c r="H70" s="594"/>
      <c r="I70" s="221"/>
      <c r="J70" s="604"/>
    </row>
    <row r="71" spans="1:10" ht="18.75" customHeight="1">
      <c r="A71" s="221"/>
      <c r="B71" s="221" t="s">
        <v>711</v>
      </c>
      <c r="C71" s="221"/>
      <c r="D71" s="617">
        <v>0.16009999999999999</v>
      </c>
      <c r="E71" s="616"/>
      <c r="F71" s="46"/>
      <c r="G71" s="55">
        <f>G70*0.1601</f>
        <v>22.824990211439374</v>
      </c>
      <c r="H71" s="594"/>
      <c r="I71" s="221"/>
      <c r="J71" s="221"/>
    </row>
    <row r="72" spans="1:10" ht="18.75" customHeight="1">
      <c r="A72" s="221"/>
      <c r="B72" s="221"/>
      <c r="C72" s="221"/>
      <c r="D72" s="616"/>
      <c r="E72" s="616"/>
      <c r="F72" s="138"/>
      <c r="G72" s="593">
        <f>G70-G71</f>
        <v>119.74209418231064</v>
      </c>
      <c r="H72" s="594" t="s">
        <v>23</v>
      </c>
      <c r="I72" s="221"/>
      <c r="J72" s="221"/>
    </row>
    <row r="73" spans="1:10" ht="18.75" customHeight="1">
      <c r="A73" s="221"/>
      <c r="B73" s="608" t="s">
        <v>807</v>
      </c>
      <c r="C73" s="609"/>
      <c r="D73" s="609"/>
      <c r="E73" s="609"/>
      <c r="F73" s="609"/>
      <c r="G73" s="609"/>
      <c r="H73" s="609"/>
      <c r="I73" s="601"/>
      <c r="J73" s="604"/>
    </row>
    <row r="74" spans="1:10" ht="18.75" customHeight="1">
      <c r="A74" s="45" t="s">
        <v>209</v>
      </c>
      <c r="B74" s="591" t="s">
        <v>810</v>
      </c>
      <c r="C74" s="221"/>
      <c r="D74" s="221"/>
      <c r="E74" s="221"/>
      <c r="F74" s="221"/>
      <c r="G74" s="593"/>
      <c r="H74" s="594"/>
      <c r="I74" s="594"/>
      <c r="J74" s="594"/>
    </row>
    <row r="75" spans="1:10" ht="18.75" customHeight="1">
      <c r="A75" s="221"/>
      <c r="B75" s="591" t="s">
        <v>792</v>
      </c>
      <c r="G75" s="593"/>
      <c r="H75" s="594"/>
      <c r="I75" s="601"/>
      <c r="J75" s="604"/>
    </row>
    <row r="76" spans="1:10" ht="18.75" customHeight="1">
      <c r="A76" s="221"/>
      <c r="B76" s="614" t="s">
        <v>795</v>
      </c>
      <c r="C76" s="221" t="s">
        <v>136</v>
      </c>
      <c r="D76" s="46">
        <v>0.18</v>
      </c>
      <c r="E76" s="46">
        <v>540</v>
      </c>
      <c r="F76" s="221" t="s">
        <v>136</v>
      </c>
      <c r="G76" s="55">
        <f>E76*D76</f>
        <v>97.2</v>
      </c>
      <c r="H76" s="594"/>
      <c r="I76" s="601"/>
      <c r="J76" s="604"/>
    </row>
    <row r="77" spans="1:10" ht="18.75" customHeight="1">
      <c r="A77" s="221"/>
      <c r="B77" s="614" t="s">
        <v>796</v>
      </c>
      <c r="C77" s="221" t="s">
        <v>136</v>
      </c>
      <c r="D77" s="46">
        <v>0.42</v>
      </c>
      <c r="E77" s="46">
        <v>450</v>
      </c>
      <c r="F77" s="221" t="s">
        <v>136</v>
      </c>
      <c r="G77" s="55">
        <f t="shared" ref="G77:G84" si="1">E77*D77</f>
        <v>189</v>
      </c>
      <c r="H77" s="594"/>
      <c r="I77" s="601"/>
      <c r="J77" s="604"/>
    </row>
    <row r="78" spans="1:10" ht="18.75" customHeight="1">
      <c r="A78" s="221"/>
      <c r="B78" s="614" t="s">
        <v>797</v>
      </c>
      <c r="C78" s="221" t="s">
        <v>136</v>
      </c>
      <c r="D78" s="46">
        <v>1.1000000000000001</v>
      </c>
      <c r="E78" s="46">
        <v>425</v>
      </c>
      <c r="F78" s="221" t="s">
        <v>136</v>
      </c>
      <c r="G78" s="55">
        <f t="shared" si="1"/>
        <v>467.50000000000006</v>
      </c>
      <c r="H78" s="594"/>
      <c r="I78" s="601"/>
      <c r="J78" s="604"/>
    </row>
    <row r="79" spans="1:10" ht="18.75" customHeight="1">
      <c r="A79" s="221"/>
      <c r="B79" s="614" t="s">
        <v>765</v>
      </c>
      <c r="C79" s="221"/>
      <c r="D79" s="46">
        <v>0</v>
      </c>
      <c r="E79" s="46">
        <v>483.1</v>
      </c>
      <c r="F79" s="46"/>
      <c r="G79" s="55">
        <f t="shared" si="1"/>
        <v>0</v>
      </c>
      <c r="H79" s="594"/>
      <c r="I79" s="601"/>
      <c r="J79" s="604"/>
    </row>
    <row r="80" spans="1:10" ht="18.75" customHeight="1">
      <c r="A80" s="221"/>
      <c r="B80" s="591" t="s">
        <v>798</v>
      </c>
      <c r="C80" s="221"/>
      <c r="D80" s="46"/>
      <c r="E80" s="46"/>
      <c r="F80" s="46"/>
      <c r="G80" s="55">
        <f t="shared" si="1"/>
        <v>0</v>
      </c>
      <c r="H80" s="594"/>
      <c r="I80" s="601"/>
      <c r="J80" s="604"/>
    </row>
    <row r="81" spans="1:10" ht="18.75" customHeight="1">
      <c r="A81" s="221"/>
      <c r="B81" s="614" t="s">
        <v>799</v>
      </c>
      <c r="C81" s="221" t="s">
        <v>789</v>
      </c>
      <c r="D81" s="46">
        <v>24</v>
      </c>
      <c r="E81" s="46">
        <v>60.5</v>
      </c>
      <c r="F81" s="221" t="s">
        <v>789</v>
      </c>
      <c r="G81" s="55">
        <f t="shared" si="1"/>
        <v>1452</v>
      </c>
      <c r="H81" s="594"/>
      <c r="I81" s="601"/>
      <c r="J81" s="604"/>
    </row>
    <row r="82" spans="1:10" ht="18.75" customHeight="1">
      <c r="A82" s="221"/>
      <c r="B82" s="614" t="s">
        <v>800</v>
      </c>
      <c r="C82" s="221" t="s">
        <v>789</v>
      </c>
      <c r="D82" s="46">
        <v>4.3</v>
      </c>
      <c r="E82" s="46">
        <v>107.69</v>
      </c>
      <c r="F82" s="221" t="s">
        <v>789</v>
      </c>
      <c r="G82" s="55">
        <f t="shared" si="1"/>
        <v>463.06699999999995</v>
      </c>
      <c r="H82" s="594"/>
      <c r="I82" s="601"/>
      <c r="J82" s="604"/>
    </row>
    <row r="83" spans="1:10" ht="18.75" customHeight="1">
      <c r="A83" s="221"/>
      <c r="B83" s="614" t="s">
        <v>801</v>
      </c>
      <c r="C83" s="221"/>
      <c r="D83" s="46"/>
      <c r="E83" s="46"/>
      <c r="F83" s="221"/>
      <c r="G83" s="55">
        <f t="shared" si="1"/>
        <v>0</v>
      </c>
      <c r="H83" s="594"/>
      <c r="I83" s="601"/>
      <c r="J83" s="604"/>
    </row>
    <row r="84" spans="1:10" ht="18.75" customHeight="1">
      <c r="A84" s="221"/>
      <c r="B84" s="591" t="s">
        <v>802</v>
      </c>
      <c r="C84" s="221" t="s">
        <v>806</v>
      </c>
      <c r="D84" s="46">
        <v>27.5</v>
      </c>
      <c r="E84" s="46">
        <v>8.5500000000000007</v>
      </c>
      <c r="F84" s="221" t="s">
        <v>806</v>
      </c>
      <c r="G84" s="55">
        <f t="shared" si="1"/>
        <v>235.12500000000003</v>
      </c>
      <c r="H84" s="594"/>
      <c r="I84" s="601"/>
      <c r="J84" s="604"/>
    </row>
    <row r="85" spans="1:10" ht="18.75" customHeight="1">
      <c r="A85" s="221"/>
      <c r="B85" s="221" t="s">
        <v>803</v>
      </c>
      <c r="C85" s="221"/>
      <c r="D85" s="46"/>
      <c r="E85" s="46"/>
      <c r="F85" s="46"/>
      <c r="G85" s="55">
        <f>SUM(G76:G84)</f>
        <v>2903.8919999999998</v>
      </c>
      <c r="H85" s="594"/>
      <c r="I85" s="601"/>
      <c r="J85" s="604"/>
    </row>
    <row r="86" spans="1:10" ht="18.75" customHeight="1">
      <c r="A86" s="221"/>
      <c r="B86" s="221" t="s">
        <v>804</v>
      </c>
      <c r="C86" s="221"/>
      <c r="D86" s="46">
        <v>0.01</v>
      </c>
      <c r="E86" s="46">
        <f>G76+G77+G78+G84</f>
        <v>988.82500000000005</v>
      </c>
      <c r="F86" s="46"/>
      <c r="G86" s="55">
        <f>E86*0.01</f>
        <v>9.8882500000000011</v>
      </c>
      <c r="H86" s="594"/>
      <c r="I86" s="601"/>
      <c r="J86" s="604"/>
    </row>
    <row r="87" spans="1:10" ht="18.75" customHeight="1">
      <c r="A87" s="221"/>
      <c r="B87" s="221" t="s">
        <v>805</v>
      </c>
      <c r="C87" s="221"/>
      <c r="D87" s="46"/>
      <c r="E87" s="46"/>
      <c r="F87" s="46"/>
      <c r="G87" s="55">
        <f>SUM(G85:G86)</f>
        <v>2913.7802499999998</v>
      </c>
      <c r="H87" s="594"/>
      <c r="I87" s="601"/>
      <c r="J87" s="604"/>
    </row>
    <row r="88" spans="1:10" ht="18.75" customHeight="1">
      <c r="A88" s="221"/>
      <c r="B88" s="600" t="s">
        <v>790</v>
      </c>
      <c r="C88" s="221"/>
      <c r="D88" s="46"/>
      <c r="E88" s="46"/>
      <c r="F88" s="46"/>
      <c r="G88" s="55">
        <f>G87*0.13615</f>
        <v>396.71118103749995</v>
      </c>
      <c r="H88" s="594"/>
      <c r="I88" s="601"/>
      <c r="J88" s="604"/>
    </row>
    <row r="89" spans="1:10" ht="18.75" customHeight="1">
      <c r="A89" s="221"/>
      <c r="B89" s="600" t="s">
        <v>808</v>
      </c>
      <c r="C89" s="221"/>
      <c r="D89" s="615">
        <v>0.13614999999999999</v>
      </c>
      <c r="E89" s="46"/>
      <c r="F89" s="46"/>
      <c r="G89" s="55">
        <f>SUM(G87:G88)</f>
        <v>3310.4914310374998</v>
      </c>
      <c r="H89" s="594"/>
      <c r="I89" s="601"/>
      <c r="J89" s="604"/>
    </row>
    <row r="90" spans="1:10" ht="18.75" customHeight="1">
      <c r="A90" s="221"/>
      <c r="B90" s="600" t="s">
        <v>809</v>
      </c>
      <c r="C90" s="221"/>
      <c r="D90" s="616"/>
      <c r="E90" s="616"/>
      <c r="F90" s="46"/>
      <c r="G90" s="55">
        <f>G89/10</f>
        <v>331.04914310375</v>
      </c>
      <c r="H90" s="594"/>
      <c r="I90" s="601"/>
      <c r="J90" s="604"/>
    </row>
    <row r="91" spans="1:10" ht="18.75" customHeight="1">
      <c r="A91" s="221"/>
      <c r="B91" s="221" t="s">
        <v>711</v>
      </c>
      <c r="C91" s="221"/>
      <c r="D91" s="617">
        <v>0.16009999999999999</v>
      </c>
      <c r="E91" s="616"/>
      <c r="F91" s="46"/>
      <c r="G91" s="55">
        <f>G90*0.1601</f>
        <v>53.000967810910375</v>
      </c>
      <c r="H91" s="594"/>
      <c r="I91" s="601"/>
      <c r="J91" s="604"/>
    </row>
    <row r="92" spans="1:10" ht="18.75" customHeight="1">
      <c r="A92" s="221"/>
      <c r="B92" s="221"/>
      <c r="C92" s="221"/>
      <c r="D92" s="616"/>
      <c r="E92" s="616"/>
      <c r="F92" s="138"/>
      <c r="G92" s="593">
        <f>G90-G91</f>
        <v>278.04817529283963</v>
      </c>
      <c r="H92" s="594" t="s">
        <v>23</v>
      </c>
      <c r="I92" s="601"/>
      <c r="J92" s="604"/>
    </row>
    <row r="93" spans="1:10" ht="18.75" customHeight="1">
      <c r="A93" s="599" t="s">
        <v>210</v>
      </c>
      <c r="B93" s="600" t="s">
        <v>811</v>
      </c>
      <c r="C93" s="601"/>
      <c r="D93" s="618"/>
      <c r="E93" s="618"/>
      <c r="F93" s="619"/>
      <c r="G93" s="602"/>
      <c r="H93" s="603"/>
      <c r="I93" s="601"/>
      <c r="J93" s="604"/>
    </row>
    <row r="94" spans="1:10" ht="18.75" customHeight="1">
      <c r="A94" s="45" t="s">
        <v>209</v>
      </c>
      <c r="B94" s="591" t="s">
        <v>952</v>
      </c>
      <c r="C94" s="221"/>
      <c r="D94" s="221"/>
      <c r="E94" s="221"/>
      <c r="F94" s="221"/>
      <c r="G94" s="593"/>
      <c r="H94" s="594"/>
      <c r="I94" s="594"/>
      <c r="J94" s="594"/>
    </row>
    <row r="95" spans="1:10" ht="18.75" customHeight="1">
      <c r="A95" s="221"/>
      <c r="B95" s="591" t="s">
        <v>792</v>
      </c>
      <c r="G95" s="593"/>
      <c r="H95" s="594"/>
      <c r="I95" s="601"/>
      <c r="J95" s="604"/>
    </row>
    <row r="96" spans="1:10" ht="18.75" customHeight="1">
      <c r="A96" s="221"/>
      <c r="B96" s="614" t="s">
        <v>795</v>
      </c>
      <c r="C96" s="221" t="s">
        <v>136</v>
      </c>
      <c r="D96" s="46">
        <v>0.24</v>
      </c>
      <c r="E96" s="46">
        <v>540</v>
      </c>
      <c r="F96" s="221" t="s">
        <v>136</v>
      </c>
      <c r="G96" s="55">
        <f>E96*D96</f>
        <v>129.6</v>
      </c>
      <c r="H96" s="594"/>
      <c r="I96" s="601"/>
      <c r="J96" s="604"/>
    </row>
    <row r="97" spans="1:10" ht="18.75" customHeight="1">
      <c r="A97" s="221"/>
      <c r="B97" s="614" t="s">
        <v>796</v>
      </c>
      <c r="C97" s="221" t="s">
        <v>136</v>
      </c>
      <c r="D97" s="46">
        <v>0.56000000000000005</v>
      </c>
      <c r="E97" s="46">
        <v>450</v>
      </c>
      <c r="F97" s="221" t="s">
        <v>136</v>
      </c>
      <c r="G97" s="55">
        <f t="shared" ref="G97:G104" si="2">E97*D97</f>
        <v>252.00000000000003</v>
      </c>
      <c r="H97" s="594"/>
      <c r="I97" s="601"/>
      <c r="J97" s="604"/>
    </row>
    <row r="98" spans="1:10" ht="18.75" customHeight="1">
      <c r="A98" s="221"/>
      <c r="B98" s="614" t="s">
        <v>797</v>
      </c>
      <c r="C98" s="221" t="s">
        <v>136</v>
      </c>
      <c r="D98" s="46">
        <v>1.2</v>
      </c>
      <c r="E98" s="46">
        <v>425</v>
      </c>
      <c r="F98" s="221" t="s">
        <v>136</v>
      </c>
      <c r="G98" s="55">
        <f t="shared" si="2"/>
        <v>510</v>
      </c>
      <c r="H98" s="594"/>
      <c r="I98" s="601"/>
      <c r="J98" s="604"/>
    </row>
    <row r="99" spans="1:10" ht="18.75" customHeight="1">
      <c r="A99" s="221"/>
      <c r="B99" s="614" t="s">
        <v>765</v>
      </c>
      <c r="C99" s="221"/>
      <c r="D99" s="46">
        <v>0.25</v>
      </c>
      <c r="E99" s="46">
        <v>891.6</v>
      </c>
      <c r="F99" s="46"/>
      <c r="G99" s="55">
        <f t="shared" si="2"/>
        <v>222.9</v>
      </c>
      <c r="H99" s="594"/>
      <c r="I99" s="601"/>
      <c r="J99" s="604"/>
    </row>
    <row r="100" spans="1:10" ht="18.75" customHeight="1">
      <c r="A100" s="221"/>
      <c r="B100" s="591" t="s">
        <v>798</v>
      </c>
      <c r="C100" s="221"/>
      <c r="D100" s="46"/>
      <c r="E100" s="46"/>
      <c r="F100" s="46"/>
      <c r="G100" s="55">
        <f t="shared" si="2"/>
        <v>0</v>
      </c>
      <c r="H100" s="594"/>
      <c r="I100" s="601"/>
      <c r="J100" s="604"/>
    </row>
    <row r="101" spans="1:10" ht="18.75" customHeight="1">
      <c r="A101" s="221"/>
      <c r="B101" s="614" t="s">
        <v>799</v>
      </c>
      <c r="C101" s="221" t="s">
        <v>789</v>
      </c>
      <c r="D101" s="46">
        <v>39.6</v>
      </c>
      <c r="E101" s="46">
        <v>60.5</v>
      </c>
      <c r="F101" s="221" t="s">
        <v>789</v>
      </c>
      <c r="G101" s="55">
        <f t="shared" si="2"/>
        <v>2395.8000000000002</v>
      </c>
      <c r="H101" s="594"/>
      <c r="I101" s="601"/>
      <c r="J101" s="604"/>
    </row>
    <row r="102" spans="1:10" ht="18.75" customHeight="1">
      <c r="A102" s="221"/>
      <c r="B102" s="614" t="s">
        <v>800</v>
      </c>
      <c r="C102" s="221" t="s">
        <v>789</v>
      </c>
      <c r="D102" s="46">
        <v>10.28</v>
      </c>
      <c r="E102" s="46">
        <v>107.69</v>
      </c>
      <c r="F102" s="221" t="s">
        <v>789</v>
      </c>
      <c r="G102" s="55">
        <f t="shared" si="2"/>
        <v>1107.0531999999998</v>
      </c>
      <c r="H102" s="594"/>
      <c r="I102" s="601"/>
      <c r="J102" s="604"/>
    </row>
    <row r="103" spans="1:10" ht="18.75" customHeight="1">
      <c r="A103" s="221"/>
      <c r="B103" s="614" t="s">
        <v>801</v>
      </c>
      <c r="C103" s="221"/>
      <c r="D103" s="46"/>
      <c r="E103" s="46"/>
      <c r="F103" s="221"/>
      <c r="G103" s="55">
        <f t="shared" si="2"/>
        <v>0</v>
      </c>
      <c r="H103" s="594"/>
      <c r="I103" s="601"/>
      <c r="J103" s="604"/>
    </row>
    <row r="104" spans="1:10" ht="18.75" customHeight="1">
      <c r="A104" s="221"/>
      <c r="B104" s="591" t="s">
        <v>802</v>
      </c>
      <c r="C104" s="221" t="s">
        <v>806</v>
      </c>
      <c r="D104" s="46">
        <v>27.5</v>
      </c>
      <c r="E104" s="46">
        <v>17.100000000000001</v>
      </c>
      <c r="F104" s="221" t="s">
        <v>806</v>
      </c>
      <c r="G104" s="55">
        <f t="shared" si="2"/>
        <v>470.25000000000006</v>
      </c>
      <c r="H104" s="594"/>
      <c r="I104" s="601"/>
      <c r="J104" s="604"/>
    </row>
    <row r="105" spans="1:10" ht="18.75" customHeight="1">
      <c r="A105" s="221"/>
      <c r="B105" s="221" t="s">
        <v>803</v>
      </c>
      <c r="C105" s="221"/>
      <c r="D105" s="46"/>
      <c r="E105" s="46"/>
      <c r="F105" s="46"/>
      <c r="G105" s="55">
        <f>SUM(G96:G104)</f>
        <v>5087.6031999999996</v>
      </c>
      <c r="H105" s="594"/>
      <c r="I105" s="601"/>
      <c r="J105" s="604"/>
    </row>
    <row r="106" spans="1:10" ht="18.75" customHeight="1">
      <c r="A106" s="221"/>
      <c r="B106" s="221" t="s">
        <v>804</v>
      </c>
      <c r="C106" s="221"/>
      <c r="D106" s="46">
        <v>0.01</v>
      </c>
      <c r="E106" s="46">
        <f>G96+G97+G98+G104</f>
        <v>1361.8500000000001</v>
      </c>
      <c r="F106" s="46"/>
      <c r="G106" s="55">
        <f>E106*0.01</f>
        <v>13.618500000000001</v>
      </c>
      <c r="H106" s="594"/>
      <c r="I106" s="601"/>
      <c r="J106" s="604"/>
    </row>
    <row r="107" spans="1:10" ht="18.75" customHeight="1">
      <c r="A107" s="221"/>
      <c r="B107" s="221" t="s">
        <v>805</v>
      </c>
      <c r="C107" s="221"/>
      <c r="D107" s="46"/>
      <c r="E107" s="46"/>
      <c r="F107" s="46"/>
      <c r="G107" s="55">
        <f>SUM(G105:G106)</f>
        <v>5101.2216999999991</v>
      </c>
      <c r="H107" s="594"/>
      <c r="I107" s="601"/>
      <c r="J107" s="604"/>
    </row>
    <row r="108" spans="1:10" ht="18.75" customHeight="1">
      <c r="A108" s="221"/>
      <c r="B108" s="600" t="s">
        <v>790</v>
      </c>
      <c r="C108" s="221"/>
      <c r="D108" s="46"/>
      <c r="E108" s="46"/>
      <c r="F108" s="46"/>
      <c r="G108" s="55">
        <f>G107*0.13615</f>
        <v>694.53133445499986</v>
      </c>
      <c r="H108" s="594"/>
      <c r="I108" s="601"/>
      <c r="J108" s="604"/>
    </row>
    <row r="109" spans="1:10" ht="18.75" customHeight="1">
      <c r="A109" s="221"/>
      <c r="B109" s="600" t="s">
        <v>808</v>
      </c>
      <c r="C109" s="221"/>
      <c r="D109" s="615">
        <v>0.13614999999999999</v>
      </c>
      <c r="E109" s="46"/>
      <c r="F109" s="46"/>
      <c r="G109" s="55">
        <f>SUM(G107:G108)</f>
        <v>5795.7530344549987</v>
      </c>
      <c r="H109" s="594"/>
      <c r="I109" s="601"/>
      <c r="J109" s="604"/>
    </row>
    <row r="110" spans="1:10" ht="18.75" customHeight="1">
      <c r="A110" s="221"/>
      <c r="B110" s="600" t="s">
        <v>809</v>
      </c>
      <c r="C110" s="221"/>
      <c r="D110" s="616"/>
      <c r="E110" s="616"/>
      <c r="F110" s="46"/>
      <c r="G110" s="55">
        <f>G109/10</f>
        <v>579.57530344549991</v>
      </c>
      <c r="H110" s="594"/>
      <c r="I110" s="601"/>
      <c r="J110" s="604"/>
    </row>
    <row r="111" spans="1:10" ht="18.75" customHeight="1">
      <c r="A111" s="221"/>
      <c r="B111" s="221" t="s">
        <v>711</v>
      </c>
      <c r="C111" s="221"/>
      <c r="D111" s="617">
        <v>0.16009999999999999</v>
      </c>
      <c r="E111" s="616"/>
      <c r="F111" s="46"/>
      <c r="G111" s="55">
        <f>G110*0.1601</f>
        <v>92.790006081624526</v>
      </c>
      <c r="H111" s="594"/>
      <c r="I111" s="601"/>
      <c r="J111" s="604"/>
    </row>
    <row r="112" spans="1:10" ht="18.75" customHeight="1">
      <c r="A112" s="221"/>
      <c r="B112" s="221"/>
      <c r="C112" s="221"/>
      <c r="D112" s="616"/>
      <c r="E112" s="616"/>
      <c r="F112" s="138"/>
      <c r="G112" s="593">
        <f>G110-G111</f>
        <v>486.78529736387537</v>
      </c>
      <c r="H112" s="594" t="s">
        <v>23</v>
      </c>
      <c r="I112" s="601"/>
      <c r="J112" s="604"/>
    </row>
    <row r="113" spans="1:10" ht="61.5" customHeight="1">
      <c r="A113" s="45">
        <v>4</v>
      </c>
      <c r="B113" s="304" t="s">
        <v>27</v>
      </c>
      <c r="C113" s="305"/>
      <c r="D113" s="305"/>
      <c r="E113" s="305"/>
      <c r="F113" s="305"/>
      <c r="G113" s="305"/>
      <c r="H113" s="305"/>
      <c r="I113" s="305"/>
      <c r="J113" s="306"/>
    </row>
    <row r="114" spans="1:10" ht="15.75">
      <c r="A114" s="221"/>
      <c r="B114" s="620" t="s">
        <v>903</v>
      </c>
      <c r="C114" s="221"/>
      <c r="D114" s="221"/>
      <c r="E114" s="221"/>
      <c r="F114" s="221"/>
      <c r="G114" s="221"/>
      <c r="H114" s="370" t="s">
        <v>904</v>
      </c>
      <c r="I114" s="371"/>
      <c r="J114" s="372"/>
    </row>
    <row r="115" spans="1:10">
      <c r="A115" s="45" t="s">
        <v>208</v>
      </c>
      <c r="B115" s="591" t="s">
        <v>782</v>
      </c>
      <c r="C115" s="46">
        <v>1</v>
      </c>
      <c r="D115" s="45" t="s">
        <v>41</v>
      </c>
      <c r="E115" s="616">
        <v>8411</v>
      </c>
      <c r="F115" s="221" t="s">
        <v>40</v>
      </c>
      <c r="G115" s="616">
        <f>E115*C115</f>
        <v>8411</v>
      </c>
      <c r="H115" s="221"/>
      <c r="I115" s="221"/>
      <c r="J115" s="221"/>
    </row>
    <row r="116" spans="1:10">
      <c r="A116" s="45"/>
      <c r="B116" s="221" t="s">
        <v>176</v>
      </c>
      <c r="C116" s="45"/>
      <c r="D116" s="45"/>
      <c r="E116" s="221"/>
      <c r="F116" s="221"/>
      <c r="G116" s="221">
        <f>G115*0.05</f>
        <v>420.55</v>
      </c>
      <c r="H116" s="221"/>
      <c r="I116" s="221"/>
      <c r="J116" s="221"/>
    </row>
    <row r="117" spans="1:10">
      <c r="A117" s="45"/>
      <c r="B117" s="221"/>
      <c r="C117" s="45"/>
      <c r="D117" s="45"/>
      <c r="E117" s="221"/>
      <c r="F117" s="221"/>
      <c r="G117" s="616">
        <f>SUM(G115:G116)</f>
        <v>8831.5499999999993</v>
      </c>
      <c r="H117" s="221"/>
      <c r="I117" s="221"/>
      <c r="J117" s="221"/>
    </row>
    <row r="118" spans="1:10">
      <c r="A118" s="45"/>
      <c r="B118" s="221" t="s">
        <v>175</v>
      </c>
      <c r="C118" s="45"/>
      <c r="D118" s="45"/>
      <c r="E118" s="221"/>
      <c r="F118" s="221"/>
      <c r="G118" s="616">
        <f>G117*0.13615</f>
        <v>1202.4155324999999</v>
      </c>
      <c r="H118" s="221"/>
      <c r="I118" s="221"/>
      <c r="J118" s="221"/>
    </row>
    <row r="119" spans="1:10">
      <c r="A119" s="45"/>
      <c r="B119" s="221"/>
      <c r="C119" s="45"/>
      <c r="D119" s="45"/>
      <c r="E119" s="221"/>
      <c r="F119" s="221"/>
      <c r="G119" s="594">
        <f>SUM(G117:G118)</f>
        <v>10033.965532499999</v>
      </c>
      <c r="H119" s="591" t="s">
        <v>23</v>
      </c>
      <c r="I119" s="221"/>
      <c r="J119" s="221"/>
    </row>
    <row r="120" spans="1:10">
      <c r="A120" s="45"/>
      <c r="B120" s="221" t="s">
        <v>410</v>
      </c>
      <c r="C120" s="45"/>
      <c r="D120" s="45"/>
      <c r="E120" s="221"/>
      <c r="F120" s="221"/>
      <c r="G120" s="592">
        <f>G119*0.1601</f>
        <v>1606.4378817532497</v>
      </c>
      <c r="H120" s="591"/>
      <c r="I120" s="221"/>
      <c r="J120" s="221"/>
    </row>
    <row r="121" spans="1:10">
      <c r="A121" s="45"/>
      <c r="B121" s="221"/>
      <c r="C121" s="45"/>
      <c r="D121" s="45"/>
      <c r="E121" s="221"/>
      <c r="F121" s="221"/>
      <c r="G121" s="594">
        <f>G119-G120</f>
        <v>8427.5276507467497</v>
      </c>
      <c r="H121" s="591" t="s">
        <v>23</v>
      </c>
      <c r="I121" s="221"/>
      <c r="J121" s="221"/>
    </row>
    <row r="122" spans="1:10">
      <c r="A122" s="45" t="s">
        <v>209</v>
      </c>
      <c r="B122" s="591" t="s">
        <v>783</v>
      </c>
      <c r="C122" s="46">
        <v>1</v>
      </c>
      <c r="D122" s="45" t="s">
        <v>41</v>
      </c>
      <c r="E122" s="616">
        <v>11294</v>
      </c>
      <c r="F122" s="221" t="s">
        <v>40</v>
      </c>
      <c r="G122" s="616">
        <f>E122*C122</f>
        <v>11294</v>
      </c>
      <c r="H122" s="370" t="s">
        <v>904</v>
      </c>
      <c r="I122" s="371"/>
      <c r="J122" s="372"/>
    </row>
    <row r="123" spans="1:10">
      <c r="A123" s="45"/>
      <c r="B123" s="221" t="s">
        <v>176</v>
      </c>
      <c r="C123" s="45"/>
      <c r="D123" s="45"/>
      <c r="E123" s="221"/>
      <c r="F123" s="221"/>
      <c r="G123" s="221">
        <f>G122*0.05</f>
        <v>564.70000000000005</v>
      </c>
      <c r="H123" s="221"/>
      <c r="I123" s="221"/>
      <c r="J123" s="221"/>
    </row>
    <row r="124" spans="1:10">
      <c r="A124" s="45"/>
      <c r="B124" s="221"/>
      <c r="C124" s="45"/>
      <c r="D124" s="45"/>
      <c r="E124" s="221"/>
      <c r="F124" s="221"/>
      <c r="G124" s="616">
        <f>SUM(G122:G123)</f>
        <v>11858.7</v>
      </c>
      <c r="H124" s="221"/>
      <c r="I124" s="221"/>
      <c r="J124" s="221"/>
    </row>
    <row r="125" spans="1:10">
      <c r="A125" s="45"/>
      <c r="B125" s="221" t="s">
        <v>175</v>
      </c>
      <c r="C125" s="45"/>
      <c r="D125" s="45"/>
      <c r="E125" s="221"/>
      <c r="F125" s="221"/>
      <c r="G125" s="616">
        <f>G124*0.13615</f>
        <v>1614.562005</v>
      </c>
      <c r="H125" s="221"/>
      <c r="I125" s="221"/>
      <c r="J125" s="221"/>
    </row>
    <row r="126" spans="1:10">
      <c r="A126" s="45"/>
      <c r="B126" s="221"/>
      <c r="C126" s="45"/>
      <c r="D126" s="45"/>
      <c r="E126" s="221"/>
      <c r="F126" s="221"/>
      <c r="G126" s="594">
        <f>SUM(G124:G125)</f>
        <v>13473.262005</v>
      </c>
      <c r="H126" s="591" t="s">
        <v>23</v>
      </c>
      <c r="I126" s="221"/>
      <c r="J126" s="221"/>
    </row>
    <row r="127" spans="1:10">
      <c r="A127" s="45"/>
      <c r="B127" s="221" t="s">
        <v>410</v>
      </c>
      <c r="C127" s="45"/>
      <c r="D127" s="45"/>
      <c r="E127" s="221"/>
      <c r="F127" s="221"/>
      <c r="G127" s="592">
        <f>G126*0.1601</f>
        <v>2157.0692470005001</v>
      </c>
      <c r="H127" s="591"/>
      <c r="I127" s="221"/>
      <c r="J127" s="221"/>
    </row>
    <row r="128" spans="1:10">
      <c r="A128" s="45"/>
      <c r="B128" s="221"/>
      <c r="C128" s="45"/>
      <c r="D128" s="45"/>
      <c r="E128" s="221"/>
      <c r="F128" s="221"/>
      <c r="G128" s="594">
        <f>G126-G127</f>
        <v>11316.192757999501</v>
      </c>
      <c r="H128" s="621" t="s">
        <v>23</v>
      </c>
      <c r="I128" s="221"/>
      <c r="J128" s="221"/>
    </row>
    <row r="129" spans="1:10">
      <c r="A129" s="45" t="s">
        <v>210</v>
      </c>
      <c r="B129" s="591" t="s">
        <v>784</v>
      </c>
      <c r="C129" s="46">
        <v>1</v>
      </c>
      <c r="D129" s="45" t="s">
        <v>41</v>
      </c>
      <c r="E129" s="616">
        <v>16159</v>
      </c>
      <c r="F129" s="221" t="s">
        <v>40</v>
      </c>
      <c r="G129" s="616">
        <f>E129*C129</f>
        <v>16159</v>
      </c>
      <c r="H129" s="370" t="s">
        <v>904</v>
      </c>
      <c r="I129" s="371"/>
      <c r="J129" s="372"/>
    </row>
    <row r="130" spans="1:10">
      <c r="A130" s="221"/>
      <c r="B130" s="221" t="s">
        <v>176</v>
      </c>
      <c r="C130" s="221"/>
      <c r="D130" s="45"/>
      <c r="E130" s="221"/>
      <c r="F130" s="221"/>
      <c r="G130" s="221">
        <f>G129*0.05</f>
        <v>807.95</v>
      </c>
      <c r="H130" s="220"/>
      <c r="I130" s="221"/>
      <c r="J130" s="221"/>
    </row>
    <row r="131" spans="1:10">
      <c r="A131" s="221"/>
      <c r="B131" s="221"/>
      <c r="C131" s="221"/>
      <c r="D131" s="45"/>
      <c r="E131" s="221"/>
      <c r="F131" s="221"/>
      <c r="G131" s="616">
        <f>SUM(G129:G130)</f>
        <v>16966.95</v>
      </c>
      <c r="H131" s="220"/>
      <c r="I131" s="221"/>
      <c r="J131" s="221"/>
    </row>
    <row r="132" spans="1:10">
      <c r="A132" s="221"/>
      <c r="B132" s="221" t="s">
        <v>175</v>
      </c>
      <c r="C132" s="221"/>
      <c r="D132" s="45"/>
      <c r="E132" s="221"/>
      <c r="F132" s="221"/>
      <c r="G132" s="616">
        <f>G131*0.13615</f>
        <v>2310.0502425</v>
      </c>
      <c r="H132" s="220"/>
      <c r="I132" s="221"/>
      <c r="J132" s="221"/>
    </row>
    <row r="133" spans="1:10">
      <c r="A133" s="221"/>
      <c r="B133" s="221"/>
      <c r="C133" s="221"/>
      <c r="D133" s="45"/>
      <c r="F133" s="221"/>
      <c r="G133" s="594">
        <f>SUM(G131:G132)</f>
        <v>19277.000242500002</v>
      </c>
      <c r="H133" s="621" t="s">
        <v>23</v>
      </c>
      <c r="I133" s="221"/>
      <c r="J133" s="221"/>
    </row>
    <row r="134" spans="1:10">
      <c r="A134" s="221"/>
      <c r="B134" s="221" t="s">
        <v>410</v>
      </c>
      <c r="C134" s="221"/>
      <c r="D134" s="45"/>
      <c r="F134" s="221"/>
      <c r="G134" s="592">
        <f>G133*0.1601</f>
        <v>3086.2477388242501</v>
      </c>
      <c r="H134" s="621"/>
      <c r="I134" s="221"/>
      <c r="J134" s="221"/>
    </row>
    <row r="135" spans="1:10">
      <c r="A135" s="221"/>
      <c r="B135" s="221"/>
      <c r="C135" s="221"/>
      <c r="D135" s="221"/>
      <c r="E135" s="221"/>
      <c r="F135" s="221"/>
      <c r="G135" s="594">
        <f>G133-G134</f>
        <v>16190.752503675752</v>
      </c>
      <c r="H135" s="621" t="s">
        <v>23</v>
      </c>
      <c r="I135" s="221"/>
      <c r="J135" s="221"/>
    </row>
    <row r="136" spans="1:10">
      <c r="A136" s="45" t="s">
        <v>211</v>
      </c>
      <c r="B136" s="591" t="s">
        <v>785</v>
      </c>
      <c r="C136" s="46">
        <v>1</v>
      </c>
      <c r="D136" s="45" t="s">
        <v>41</v>
      </c>
      <c r="E136" s="616">
        <v>4845</v>
      </c>
      <c r="F136" s="221" t="s">
        <v>40</v>
      </c>
      <c r="G136" s="616">
        <f>E136*C136</f>
        <v>4845</v>
      </c>
      <c r="H136" s="370" t="s">
        <v>904</v>
      </c>
      <c r="I136" s="371"/>
      <c r="J136" s="372"/>
    </row>
    <row r="137" spans="1:10">
      <c r="A137" s="45"/>
      <c r="B137" s="221" t="s">
        <v>176</v>
      </c>
      <c r="C137" s="45"/>
      <c r="D137" s="45"/>
      <c r="E137" s="221"/>
      <c r="F137" s="221"/>
      <c r="G137" s="221">
        <f>G136*0.05</f>
        <v>242.25</v>
      </c>
      <c r="H137" s="221"/>
      <c r="I137" s="221"/>
      <c r="J137" s="221"/>
    </row>
    <row r="138" spans="1:10">
      <c r="A138" s="45"/>
      <c r="B138" s="221"/>
      <c r="C138" s="45"/>
      <c r="D138" s="45"/>
      <c r="E138" s="221"/>
      <c r="F138" s="221"/>
      <c r="G138" s="616">
        <f>SUM(G136:G137)</f>
        <v>5087.25</v>
      </c>
      <c r="H138" s="221"/>
      <c r="I138" s="221"/>
      <c r="J138" s="221"/>
    </row>
    <row r="139" spans="1:10" ht="15.75">
      <c r="A139" s="45"/>
      <c r="B139" s="622" t="s">
        <v>175</v>
      </c>
      <c r="C139" s="45"/>
      <c r="D139" s="45"/>
      <c r="E139" s="221"/>
      <c r="F139" s="221"/>
      <c r="G139" s="616">
        <f>G138*0.13615</f>
        <v>692.62908749999997</v>
      </c>
      <c r="H139" s="221"/>
      <c r="I139" s="221"/>
      <c r="J139" s="221"/>
    </row>
    <row r="140" spans="1:10">
      <c r="A140" s="45"/>
      <c r="B140" s="221"/>
      <c r="C140" s="45"/>
      <c r="D140" s="45"/>
      <c r="E140" s="221"/>
      <c r="F140" s="221"/>
      <c r="G140" s="594">
        <f>SUM(G138:G139)</f>
        <v>5779.8790874999995</v>
      </c>
      <c r="H140" s="221"/>
      <c r="I140" s="221"/>
      <c r="J140" s="221"/>
    </row>
    <row r="141" spans="1:10">
      <c r="A141" s="45"/>
      <c r="B141" s="221" t="s">
        <v>410</v>
      </c>
      <c r="C141" s="45"/>
      <c r="D141" s="45"/>
      <c r="E141" s="221"/>
      <c r="F141" s="221"/>
      <c r="G141" s="592">
        <f>G140*0.1601</f>
        <v>925.35864190874986</v>
      </c>
      <c r="H141" s="591"/>
      <c r="I141" s="221"/>
      <c r="J141" s="221"/>
    </row>
    <row r="142" spans="1:10">
      <c r="A142" s="45"/>
      <c r="B142" s="221"/>
      <c r="C142" s="45"/>
      <c r="D142" s="45"/>
      <c r="E142" s="221"/>
      <c r="F142" s="221"/>
      <c r="G142" s="594">
        <f>G140-G141</f>
        <v>4854.5204455912499</v>
      </c>
      <c r="H142" s="591" t="s">
        <v>23</v>
      </c>
      <c r="I142" s="221"/>
      <c r="J142" s="221"/>
    </row>
    <row r="143" spans="1:10">
      <c r="A143" s="45" t="s">
        <v>212</v>
      </c>
      <c r="B143" s="591" t="s">
        <v>786</v>
      </c>
      <c r="C143" s="46">
        <v>1</v>
      </c>
      <c r="D143" s="45" t="s">
        <v>41</v>
      </c>
      <c r="E143" s="616">
        <v>6425</v>
      </c>
      <c r="F143" s="221" t="s">
        <v>40</v>
      </c>
      <c r="G143" s="616">
        <f>E143*C143</f>
        <v>6425</v>
      </c>
      <c r="H143" s="370" t="s">
        <v>904</v>
      </c>
      <c r="I143" s="371"/>
      <c r="J143" s="372"/>
    </row>
    <row r="144" spans="1:10">
      <c r="A144" s="45"/>
      <c r="B144" s="221" t="s">
        <v>176</v>
      </c>
      <c r="C144" s="45"/>
      <c r="D144" s="45"/>
      <c r="E144" s="221"/>
      <c r="F144" s="221"/>
      <c r="G144" s="221">
        <f>G143*0.05</f>
        <v>321.25</v>
      </c>
      <c r="H144" s="221"/>
      <c r="I144" s="221"/>
      <c r="J144" s="221"/>
    </row>
    <row r="145" spans="1:10">
      <c r="A145" s="45"/>
      <c r="B145" s="221"/>
      <c r="C145" s="45"/>
      <c r="D145" s="45"/>
      <c r="E145" s="221"/>
      <c r="F145" s="221"/>
      <c r="G145" s="616">
        <f>SUM(G143:G144)</f>
        <v>6746.25</v>
      </c>
      <c r="H145" s="221"/>
      <c r="I145" s="221"/>
      <c r="J145" s="221"/>
    </row>
    <row r="146" spans="1:10">
      <c r="A146" s="45"/>
      <c r="B146" s="221" t="s">
        <v>175</v>
      </c>
      <c r="C146" s="45"/>
      <c r="D146" s="45"/>
      <c r="E146" s="221"/>
      <c r="F146" s="221"/>
      <c r="G146" s="616">
        <f>G145*0.13615</f>
        <v>918.50193749999994</v>
      </c>
      <c r="H146" s="221"/>
      <c r="I146" s="221"/>
      <c r="J146" s="221"/>
    </row>
    <row r="147" spans="1:10">
      <c r="A147" s="45"/>
      <c r="B147" s="221"/>
      <c r="C147" s="45"/>
      <c r="D147" s="45"/>
      <c r="E147" s="221"/>
      <c r="F147" s="221"/>
      <c r="G147" s="594">
        <f>SUM(G145:G146)</f>
        <v>7664.7519375000002</v>
      </c>
      <c r="H147" s="591" t="s">
        <v>23</v>
      </c>
      <c r="I147" s="221"/>
      <c r="J147" s="221"/>
    </row>
    <row r="148" spans="1:10">
      <c r="A148" s="45"/>
      <c r="B148" s="221" t="s">
        <v>410</v>
      </c>
      <c r="C148" s="45"/>
      <c r="D148" s="45"/>
      <c r="E148" s="221"/>
      <c r="F148" s="221"/>
      <c r="G148" s="592">
        <f>G147*0.1601</f>
        <v>1227.12678519375</v>
      </c>
      <c r="H148" s="591"/>
      <c r="I148" s="221"/>
      <c r="J148" s="221"/>
    </row>
    <row r="149" spans="1:10">
      <c r="A149" s="45"/>
      <c r="B149" s="221"/>
      <c r="C149" s="45"/>
      <c r="D149" s="45"/>
      <c r="E149" s="221"/>
      <c r="F149" s="221"/>
      <c r="G149" s="594">
        <f>G147-G148</f>
        <v>6437.6251523062501</v>
      </c>
      <c r="H149" s="591" t="s">
        <v>23</v>
      </c>
      <c r="I149" s="221"/>
      <c r="J149" s="221"/>
    </row>
    <row r="150" spans="1:10" ht="54.75" customHeight="1">
      <c r="A150" s="45">
        <v>5</v>
      </c>
      <c r="B150" s="304" t="s">
        <v>30</v>
      </c>
      <c r="C150" s="305"/>
      <c r="D150" s="305"/>
      <c r="E150" s="305"/>
      <c r="F150" s="305"/>
      <c r="G150" s="305"/>
      <c r="H150" s="305"/>
      <c r="I150" s="305"/>
      <c r="J150" s="306"/>
    </row>
    <row r="151" spans="1:10">
      <c r="A151" s="221"/>
      <c r="B151" s="221"/>
      <c r="C151" s="221"/>
      <c r="D151" s="221"/>
      <c r="E151" s="221"/>
      <c r="F151" s="221"/>
      <c r="G151" s="221"/>
      <c r="H151" s="221"/>
      <c r="I151" s="221"/>
      <c r="J151" s="221"/>
    </row>
    <row r="152" spans="1:10">
      <c r="A152" s="45" t="s">
        <v>208</v>
      </c>
      <c r="B152" s="591" t="s">
        <v>905</v>
      </c>
      <c r="C152" s="221"/>
      <c r="D152" s="221"/>
      <c r="E152" s="221"/>
      <c r="F152" s="221"/>
      <c r="G152" s="221"/>
      <c r="H152" s="370" t="s">
        <v>906</v>
      </c>
      <c r="I152" s="371"/>
      <c r="J152" s="372"/>
    </row>
    <row r="153" spans="1:10">
      <c r="A153" s="221"/>
      <c r="B153" s="221" t="s">
        <v>181</v>
      </c>
      <c r="C153" s="46">
        <v>1</v>
      </c>
      <c r="D153" s="45" t="s">
        <v>133</v>
      </c>
      <c r="E153" s="616">
        <v>105</v>
      </c>
      <c r="F153" s="221" t="s">
        <v>134</v>
      </c>
      <c r="G153" s="46">
        <f>E153*C153</f>
        <v>105</v>
      </c>
      <c r="H153" s="221"/>
      <c r="I153" s="221"/>
      <c r="J153" s="221"/>
    </row>
    <row r="154" spans="1:10">
      <c r="A154" s="221"/>
      <c r="B154" s="221" t="s">
        <v>176</v>
      </c>
      <c r="C154" s="221"/>
      <c r="D154" s="221"/>
      <c r="E154" s="221"/>
      <c r="F154" s="221"/>
      <c r="G154" s="46">
        <f>G153*0.05</f>
        <v>5.25</v>
      </c>
      <c r="H154" s="221"/>
      <c r="I154" s="221"/>
      <c r="J154" s="221"/>
    </row>
    <row r="155" spans="1:10">
      <c r="A155" s="221"/>
      <c r="B155" s="221"/>
      <c r="C155" s="221"/>
      <c r="D155" s="221"/>
      <c r="E155" s="221"/>
      <c r="F155" s="221"/>
      <c r="G155" s="46">
        <f>SUM(G153:G154)</f>
        <v>110.25</v>
      </c>
      <c r="H155" s="221"/>
      <c r="I155" s="221"/>
      <c r="J155" s="221"/>
    </row>
    <row r="156" spans="1:10">
      <c r="A156" s="221"/>
      <c r="B156" s="221" t="s">
        <v>175</v>
      </c>
      <c r="C156" s="221"/>
      <c r="D156" s="221"/>
      <c r="E156" s="221"/>
      <c r="F156" s="221"/>
      <c r="G156" s="46">
        <f>G155*0.13615</f>
        <v>15.0105375</v>
      </c>
      <c r="H156" s="221"/>
      <c r="I156" s="221"/>
      <c r="J156" s="221"/>
    </row>
    <row r="157" spans="1:10">
      <c r="A157" s="221"/>
      <c r="B157" s="221"/>
      <c r="C157" s="221"/>
      <c r="D157" s="221"/>
      <c r="E157" s="221"/>
      <c r="F157" s="221"/>
      <c r="G157" s="138">
        <f>SUM(G155:G156)</f>
        <v>125.2605375</v>
      </c>
      <c r="H157" s="221"/>
      <c r="I157" s="221"/>
      <c r="J157" s="221"/>
    </row>
    <row r="158" spans="1:10">
      <c r="A158" s="221"/>
      <c r="B158" s="221" t="s">
        <v>411</v>
      </c>
      <c r="C158" s="221"/>
      <c r="D158" s="221"/>
      <c r="E158" s="221"/>
      <c r="F158" s="221"/>
      <c r="G158" s="46">
        <f>G157*0.1601</f>
        <v>20.05421205375</v>
      </c>
      <c r="H158" s="592"/>
      <c r="I158" s="221"/>
      <c r="J158" s="221"/>
    </row>
    <row r="159" spans="1:10" ht="15.75">
      <c r="A159" s="221"/>
      <c r="B159" s="221"/>
      <c r="C159" s="221"/>
      <c r="D159" s="221"/>
      <c r="E159" s="221"/>
      <c r="F159" s="221"/>
      <c r="G159" s="593">
        <f>G157-G158</f>
        <v>105.20632544624999</v>
      </c>
      <c r="H159" s="621" t="s">
        <v>134</v>
      </c>
      <c r="I159" s="221"/>
      <c r="J159" s="221"/>
    </row>
    <row r="160" spans="1:10" ht="171" customHeight="1">
      <c r="A160" s="45">
        <v>6</v>
      </c>
      <c r="B160" s="623" t="str">
        <f>'[1]FINAL OHT abs '!$B$7</f>
        <v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including centering &amp; shuttering using steel scaffolding pipes, jack props, wallers, foot plates, brackets, steel centering plates weigh batcher etc machine mixing, laying concrete, vibrating, finishing smooth to required levels, curing, pumping to work spot, lifting of material with  mechanical equipment like winch, etc., all other incidental and operational charges, all labour charges, etc.,  but excluding cost of steel and its fabrication charges etc., complete as directed by Engineer-in-Charge for the following finished items of work,  excluding GST &amp; seigniorage charges.  </v>
      </c>
      <c r="C160" s="624"/>
      <c r="D160" s="624"/>
      <c r="E160" s="624"/>
      <c r="F160" s="624"/>
      <c r="G160" s="624"/>
      <c r="H160" s="624"/>
      <c r="I160" s="624"/>
      <c r="J160" s="625"/>
    </row>
    <row r="161" spans="1:10" ht="15.75" customHeight="1">
      <c r="A161" s="221"/>
      <c r="B161" s="626" t="s">
        <v>744</v>
      </c>
      <c r="C161" s="626"/>
      <c r="D161" s="626"/>
      <c r="E161" s="626"/>
      <c r="F161" s="626"/>
      <c r="G161" s="626"/>
      <c r="H161" s="627"/>
      <c r="I161" s="628"/>
      <c r="J161" s="629"/>
    </row>
    <row r="162" spans="1:10" ht="15.75" customHeight="1">
      <c r="A162" s="221"/>
      <c r="B162" s="630" t="s">
        <v>745</v>
      </c>
      <c r="C162" s="631"/>
      <c r="D162" s="632"/>
      <c r="E162" s="633"/>
      <c r="F162" s="633"/>
      <c r="G162" s="634"/>
      <c r="H162" s="635"/>
      <c r="I162" s="221"/>
      <c r="J162" s="221"/>
    </row>
    <row r="163" spans="1:10" ht="15.75">
      <c r="A163" s="221"/>
      <c r="B163" s="636" t="s">
        <v>746</v>
      </c>
      <c r="C163" s="637"/>
      <c r="D163" s="638"/>
      <c r="E163" s="633"/>
      <c r="F163" s="633"/>
      <c r="G163" s="634"/>
      <c r="H163" s="635"/>
      <c r="I163" s="221"/>
      <c r="J163" s="221"/>
    </row>
    <row r="164" spans="1:10" ht="15.75">
      <c r="A164" s="221"/>
      <c r="B164" s="633" t="s">
        <v>747</v>
      </c>
      <c r="C164" s="639">
        <v>400</v>
      </c>
      <c r="D164" s="640" t="s">
        <v>748</v>
      </c>
      <c r="E164" s="641">
        <f>[1]lead!$I$9/1000</f>
        <v>4.3</v>
      </c>
      <c r="F164" s="640" t="s">
        <v>749</v>
      </c>
      <c r="G164" s="640">
        <f>C164*E164</f>
        <v>1720</v>
      </c>
      <c r="H164" s="635"/>
      <c r="I164" s="221"/>
      <c r="J164" s="221"/>
    </row>
    <row r="165" spans="1:10" ht="15.75">
      <c r="A165" s="221"/>
      <c r="B165" s="633" t="s">
        <v>750</v>
      </c>
      <c r="C165" s="642">
        <v>0.8</v>
      </c>
      <c r="D165" s="640" t="s">
        <v>12</v>
      </c>
      <c r="E165" s="640">
        <f>'[1]Data- ds'!$G$426</f>
        <v>1439.9484</v>
      </c>
      <c r="F165" s="640" t="s">
        <v>751</v>
      </c>
      <c r="G165" s="640">
        <f>C165*E165</f>
        <v>1151.9587200000001</v>
      </c>
      <c r="H165" s="635"/>
      <c r="I165" s="221"/>
      <c r="J165" s="221"/>
    </row>
    <row r="166" spans="1:10" ht="15.75">
      <c r="A166" s="221"/>
      <c r="B166" s="633" t="s">
        <v>752</v>
      </c>
      <c r="C166" s="642">
        <v>0.2</v>
      </c>
      <c r="D166" s="640" t="s">
        <v>12</v>
      </c>
      <c r="E166" s="640">
        <f>[1]lead!$I$13</f>
        <v>2227.2599999999998</v>
      </c>
      <c r="F166" s="640" t="s">
        <v>753</v>
      </c>
      <c r="G166" s="640">
        <f>C166*E166</f>
        <v>445.452</v>
      </c>
      <c r="H166" s="635"/>
      <c r="I166" s="221"/>
      <c r="J166" s="221"/>
    </row>
    <row r="167" spans="1:10" ht="15.75">
      <c r="A167" s="221"/>
      <c r="B167" s="633" t="s">
        <v>723</v>
      </c>
      <c r="C167" s="641">
        <v>0.2</v>
      </c>
      <c r="D167" s="640" t="s">
        <v>12</v>
      </c>
      <c r="E167" s="640">
        <f>[1]lead!$I$14</f>
        <v>937.69839999999999</v>
      </c>
      <c r="F167" s="640" t="s">
        <v>753</v>
      </c>
      <c r="G167" s="640">
        <f>C167*E167</f>
        <v>187.53968</v>
      </c>
      <c r="H167" s="635"/>
      <c r="I167" s="221"/>
      <c r="J167" s="221"/>
    </row>
    <row r="168" spans="1:10" ht="31.5">
      <c r="A168" s="221"/>
      <c r="B168" s="633" t="s">
        <v>754</v>
      </c>
      <c r="C168" s="642">
        <v>1.2</v>
      </c>
      <c r="D168" s="640" t="s">
        <v>755</v>
      </c>
      <c r="E168" s="640">
        <v>73</v>
      </c>
      <c r="F168" s="640" t="s">
        <v>756</v>
      </c>
      <c r="G168" s="640">
        <f>C168*E168</f>
        <v>87.6</v>
      </c>
      <c r="H168" s="635"/>
      <c r="I168" s="221"/>
      <c r="J168" s="221"/>
    </row>
    <row r="169" spans="1:10" ht="15.75">
      <c r="A169" s="221"/>
      <c r="B169" s="636" t="s">
        <v>757</v>
      </c>
      <c r="C169" s="640"/>
      <c r="D169" s="640"/>
      <c r="E169" s="643"/>
      <c r="F169" s="640"/>
      <c r="G169" s="640"/>
      <c r="H169" s="635"/>
      <c r="I169" s="221"/>
      <c r="J169" s="221"/>
    </row>
    <row r="170" spans="1:10" ht="15.75">
      <c r="A170" s="221"/>
      <c r="B170" s="633" t="s">
        <v>758</v>
      </c>
      <c r="C170" s="642">
        <v>1.333</v>
      </c>
      <c r="D170" s="640" t="s">
        <v>759</v>
      </c>
      <c r="E170" s="640">
        <v>608.1</v>
      </c>
      <c r="F170" s="640" t="s">
        <v>760</v>
      </c>
      <c r="G170" s="640">
        <f>C170*E170</f>
        <v>810.59730000000002</v>
      </c>
      <c r="H170" s="635"/>
      <c r="I170" s="221"/>
      <c r="J170" s="221"/>
    </row>
    <row r="171" spans="1:10" ht="31.5">
      <c r="A171" s="221"/>
      <c r="B171" s="633" t="s">
        <v>761</v>
      </c>
      <c r="C171" s="644">
        <v>1.333</v>
      </c>
      <c r="D171" s="640" t="s">
        <v>759</v>
      </c>
      <c r="E171" s="640">
        <v>205</v>
      </c>
      <c r="F171" s="640" t="s">
        <v>760</v>
      </c>
      <c r="G171" s="640">
        <f>C171*E171</f>
        <v>273.26499999999999</v>
      </c>
      <c r="H171" s="635"/>
      <c r="I171" s="221"/>
      <c r="J171" s="221"/>
    </row>
    <row r="172" spans="1:10" ht="15.75">
      <c r="A172" s="221"/>
      <c r="B172" s="645"/>
      <c r="C172" s="646"/>
      <c r="D172" s="646"/>
      <c r="E172" s="647"/>
      <c r="F172" s="646"/>
      <c r="G172" s="646"/>
      <c r="H172" s="648"/>
      <c r="I172" s="221"/>
      <c r="J172" s="221"/>
    </row>
    <row r="173" spans="1:10" ht="15.75">
      <c r="A173" s="221"/>
      <c r="B173" s="636" t="s">
        <v>762</v>
      </c>
      <c r="C173" s="640"/>
      <c r="D173" s="640"/>
      <c r="E173" s="643"/>
      <c r="F173" s="640"/>
      <c r="G173" s="640"/>
      <c r="H173" s="635"/>
      <c r="I173" s="221"/>
      <c r="J173" s="221"/>
    </row>
    <row r="174" spans="1:10" ht="15.75">
      <c r="A174" s="221"/>
      <c r="B174" s="649" t="s">
        <v>763</v>
      </c>
      <c r="C174" s="642">
        <v>0.16700000000000001</v>
      </c>
      <c r="D174" s="640" t="s">
        <v>2</v>
      </c>
      <c r="E174" s="640">
        <v>470</v>
      </c>
      <c r="F174" s="640" t="s">
        <v>701</v>
      </c>
      <c r="G174" s="640">
        <f>C174*E174</f>
        <v>78.490000000000009</v>
      </c>
      <c r="H174" s="635"/>
      <c r="I174" s="221"/>
      <c r="J174" s="221"/>
    </row>
    <row r="175" spans="1:10" ht="15.75">
      <c r="A175" s="221"/>
      <c r="B175" s="649" t="s">
        <v>764</v>
      </c>
      <c r="C175" s="642">
        <v>0.16700000000000001</v>
      </c>
      <c r="D175" s="640" t="s">
        <v>2</v>
      </c>
      <c r="E175" s="640">
        <v>450</v>
      </c>
      <c r="F175" s="640" t="s">
        <v>701</v>
      </c>
      <c r="G175" s="640">
        <f>C175*E175</f>
        <v>75.150000000000006</v>
      </c>
      <c r="H175" s="635"/>
      <c r="I175" s="221"/>
      <c r="J175" s="221"/>
    </row>
    <row r="176" spans="1:10" ht="15.75">
      <c r="A176" s="221"/>
      <c r="B176" s="649" t="s">
        <v>700</v>
      </c>
      <c r="C176" s="642">
        <v>5.6</v>
      </c>
      <c r="D176" s="640" t="s">
        <v>2</v>
      </c>
      <c r="E176" s="640">
        <v>425</v>
      </c>
      <c r="F176" s="640" t="s">
        <v>701</v>
      </c>
      <c r="G176" s="640">
        <f>C176*E176</f>
        <v>2380</v>
      </c>
      <c r="H176" s="635"/>
      <c r="I176" s="221"/>
      <c r="J176" s="221"/>
    </row>
    <row r="177" spans="1:10" ht="15.75">
      <c r="A177" s="221"/>
      <c r="B177" s="649" t="s">
        <v>765</v>
      </c>
      <c r="C177" s="650">
        <v>0</v>
      </c>
      <c r="D177" s="640"/>
      <c r="E177" s="640">
        <f>SUM(G174:G176)</f>
        <v>2533.64</v>
      </c>
      <c r="F177" s="640"/>
      <c r="G177" s="640">
        <f>C177*E177</f>
        <v>0</v>
      </c>
      <c r="H177" s="635"/>
      <c r="I177" s="221"/>
      <c r="J177" s="221"/>
    </row>
    <row r="178" spans="1:10" ht="15.75">
      <c r="A178" s="221"/>
      <c r="B178" s="649"/>
      <c r="C178" s="641"/>
      <c r="D178" s="651"/>
      <c r="E178" s="643"/>
      <c r="F178" s="640"/>
      <c r="G178" s="640">
        <f>SUM(G164:G177)</f>
        <v>7210.0526999999993</v>
      </c>
      <c r="H178" s="635"/>
      <c r="I178" s="221"/>
      <c r="J178" s="221"/>
    </row>
    <row r="179" spans="1:10">
      <c r="A179" s="221"/>
      <c r="B179" s="652" t="s">
        <v>743</v>
      </c>
      <c r="C179" s="127">
        <v>0.13614999999999999</v>
      </c>
      <c r="D179" s="128" t="s">
        <v>276</v>
      </c>
      <c r="E179" s="129">
        <f>G177+G178</f>
        <v>7210.0526999999993</v>
      </c>
      <c r="F179" s="130"/>
      <c r="G179" s="130">
        <f>C179*E179</f>
        <v>981.64867510499982</v>
      </c>
      <c r="H179" s="594"/>
      <c r="I179" s="221"/>
      <c r="J179" s="221"/>
    </row>
    <row r="180" spans="1:10">
      <c r="A180" s="221"/>
      <c r="B180" s="653" t="s">
        <v>740</v>
      </c>
      <c r="C180" s="131">
        <v>1.7500000000000002E-2</v>
      </c>
      <c r="D180" s="128" t="s">
        <v>276</v>
      </c>
      <c r="E180" s="132">
        <f>E179+G179</f>
        <v>8191.701375104999</v>
      </c>
      <c r="F180" s="130"/>
      <c r="G180" s="130">
        <f>E180*C180-0.01</f>
        <v>143.34477406433751</v>
      </c>
      <c r="H180" s="594"/>
      <c r="I180" s="221"/>
      <c r="J180" s="221"/>
    </row>
    <row r="181" spans="1:10">
      <c r="A181" s="221"/>
      <c r="B181" s="653" t="s">
        <v>741</v>
      </c>
      <c r="C181" s="133"/>
      <c r="D181" s="128"/>
      <c r="E181" s="132"/>
      <c r="F181" s="130"/>
      <c r="G181" s="130">
        <v>0.01</v>
      </c>
      <c r="H181" s="594"/>
      <c r="I181" s="221"/>
      <c r="J181" s="221"/>
    </row>
    <row r="182" spans="1:10">
      <c r="A182" s="221"/>
      <c r="B182" s="654" t="s">
        <v>742</v>
      </c>
      <c r="C182" s="132"/>
      <c r="D182" s="134"/>
      <c r="E182" s="129"/>
      <c r="F182" s="130"/>
      <c r="G182" s="655">
        <f>SUM(G177:G181)</f>
        <v>8335.056149169337</v>
      </c>
      <c r="H182" s="592" t="s">
        <v>16</v>
      </c>
      <c r="I182" s="221"/>
      <c r="J182" s="221"/>
    </row>
    <row r="183" spans="1:10" ht="15.75">
      <c r="A183" s="221"/>
      <c r="B183" s="221" t="s">
        <v>711</v>
      </c>
      <c r="C183" s="221">
        <v>0.16009999999999999</v>
      </c>
      <c r="D183" s="221"/>
      <c r="E183" s="221"/>
      <c r="F183" s="221"/>
      <c r="G183" s="55">
        <f>G182*0.1601</f>
        <v>1334.4424894820108</v>
      </c>
      <c r="H183" s="594"/>
      <c r="I183" s="221"/>
      <c r="J183" s="221"/>
    </row>
    <row r="184" spans="1:10" ht="15.75">
      <c r="A184" s="221"/>
      <c r="B184" s="221"/>
      <c r="C184" s="221"/>
      <c r="D184" s="221"/>
      <c r="E184" s="221"/>
      <c r="F184" s="221"/>
      <c r="G184" s="593">
        <f>G182-G183</f>
        <v>7000.6136596873257</v>
      </c>
      <c r="H184" s="594" t="s">
        <v>709</v>
      </c>
      <c r="I184" s="221"/>
      <c r="J184" s="221"/>
    </row>
    <row r="185" spans="1:10" ht="89.25" customHeight="1">
      <c r="A185" s="45">
        <v>7</v>
      </c>
      <c r="B185" s="373" t="s">
        <v>331</v>
      </c>
      <c r="C185" s="374"/>
      <c r="D185" s="374"/>
      <c r="E185" s="374"/>
      <c r="F185" s="374"/>
      <c r="G185" s="374"/>
      <c r="H185" s="374"/>
      <c r="I185" s="374"/>
      <c r="J185" s="375"/>
    </row>
    <row r="186" spans="1:10" ht="15.75">
      <c r="A186" s="45" t="s">
        <v>208</v>
      </c>
      <c r="B186" s="126" t="s">
        <v>814</v>
      </c>
      <c r="C186" s="45" t="s">
        <v>332</v>
      </c>
      <c r="D186" s="55">
        <v>1</v>
      </c>
      <c r="E186" s="60">
        <v>32550.5</v>
      </c>
      <c r="F186" s="45" t="s">
        <v>332</v>
      </c>
      <c r="G186" s="135">
        <f>ROUND((E186*D186),2)</f>
        <v>32550.5</v>
      </c>
      <c r="H186" s="221"/>
      <c r="I186" s="601"/>
      <c r="J186" s="604"/>
    </row>
    <row r="187" spans="1:10" ht="15.75">
      <c r="A187" s="221"/>
      <c r="B187" s="221" t="s">
        <v>633</v>
      </c>
      <c r="C187" s="221"/>
      <c r="D187" s="221"/>
      <c r="E187" s="221"/>
      <c r="F187" s="221"/>
      <c r="G187" s="135">
        <f>G186*0.1601</f>
        <v>5211.3350499999997</v>
      </c>
      <c r="H187" s="221"/>
      <c r="I187" s="601"/>
      <c r="J187" s="604"/>
    </row>
    <row r="188" spans="1:10">
      <c r="A188" s="221"/>
      <c r="B188" s="221"/>
      <c r="C188" s="221"/>
      <c r="D188" s="221"/>
      <c r="E188" s="221"/>
      <c r="F188" s="221"/>
      <c r="G188" s="136">
        <f>G186-G187</f>
        <v>27339.164949999998</v>
      </c>
      <c r="H188" s="221"/>
      <c r="I188" s="601"/>
      <c r="J188" s="604"/>
    </row>
    <row r="189" spans="1:10" ht="15.75">
      <c r="A189" s="45" t="s">
        <v>209</v>
      </c>
      <c r="B189" s="126" t="s">
        <v>815</v>
      </c>
      <c r="C189" s="45" t="s">
        <v>332</v>
      </c>
      <c r="D189" s="55">
        <v>1</v>
      </c>
      <c r="E189" s="60">
        <v>32550.5</v>
      </c>
      <c r="F189" s="45" t="s">
        <v>332</v>
      </c>
      <c r="G189" s="135">
        <f>ROUND((E189*D189),2)</f>
        <v>32550.5</v>
      </c>
      <c r="H189" s="221"/>
      <c r="I189" s="601"/>
      <c r="J189" s="604"/>
    </row>
    <row r="190" spans="1:10" ht="15.75">
      <c r="A190" s="221"/>
      <c r="B190" s="221" t="s">
        <v>633</v>
      </c>
      <c r="C190" s="221"/>
      <c r="D190" s="221"/>
      <c r="E190" s="221"/>
      <c r="F190" s="221"/>
      <c r="G190" s="135">
        <f>G189*0.1601</f>
        <v>5211.3350499999997</v>
      </c>
      <c r="H190" s="221"/>
      <c r="I190" s="601"/>
      <c r="J190" s="604"/>
    </row>
    <row r="191" spans="1:10">
      <c r="A191" s="221"/>
      <c r="B191" s="221"/>
      <c r="C191" s="221"/>
      <c r="D191" s="221"/>
      <c r="E191" s="221"/>
      <c r="F191" s="46"/>
      <c r="G191" s="138">
        <f>G189-G190</f>
        <v>27339.164949999998</v>
      </c>
      <c r="H191" s="591" t="s">
        <v>232</v>
      </c>
      <c r="I191" s="601"/>
      <c r="J191" s="604"/>
    </row>
    <row r="192" spans="1:10" ht="50.25" customHeight="1">
      <c r="A192" s="45">
        <v>8</v>
      </c>
      <c r="B192" s="373" t="s">
        <v>333</v>
      </c>
      <c r="C192" s="374"/>
      <c r="D192" s="374"/>
      <c r="E192" s="374"/>
      <c r="F192" s="374"/>
      <c r="G192" s="374"/>
      <c r="H192" s="374"/>
      <c r="I192" s="374"/>
      <c r="J192" s="375"/>
    </row>
    <row r="193" spans="1:10" ht="15.75">
      <c r="A193" s="45" t="s">
        <v>208</v>
      </c>
      <c r="B193" s="126" t="s">
        <v>814</v>
      </c>
      <c r="C193" s="45" t="s">
        <v>332</v>
      </c>
      <c r="D193" s="55">
        <v>1</v>
      </c>
      <c r="E193" s="60">
        <v>30875.5</v>
      </c>
      <c r="F193" s="45" t="s">
        <v>332</v>
      </c>
      <c r="G193" s="135">
        <f>ROUND((E193*D193),2)</f>
        <v>30875.5</v>
      </c>
      <c r="I193" s="601"/>
      <c r="J193" s="604"/>
    </row>
    <row r="194" spans="1:10" ht="15.75">
      <c r="A194" s="221"/>
      <c r="B194" s="221" t="s">
        <v>633</v>
      </c>
      <c r="C194" s="221"/>
      <c r="D194" s="221"/>
      <c r="E194" s="221"/>
      <c r="F194" s="221"/>
      <c r="G194" s="135">
        <f>G193*0.1601</f>
        <v>4943.1675500000001</v>
      </c>
      <c r="H194" s="221"/>
      <c r="I194" s="601"/>
      <c r="J194" s="604"/>
    </row>
    <row r="195" spans="1:10">
      <c r="A195" s="221"/>
      <c r="B195" s="221"/>
      <c r="C195" s="221"/>
      <c r="D195" s="221"/>
      <c r="E195" s="221"/>
      <c r="F195" s="221"/>
      <c r="G195" s="137">
        <f>G193-G194</f>
        <v>25932.332450000002</v>
      </c>
      <c r="H195" s="656" t="s">
        <v>232</v>
      </c>
      <c r="I195" s="601"/>
      <c r="J195" s="604"/>
    </row>
    <row r="196" spans="1:10" ht="15.75">
      <c r="A196" s="45" t="s">
        <v>209</v>
      </c>
      <c r="B196" s="126" t="s">
        <v>816</v>
      </c>
      <c r="C196" s="45" t="s">
        <v>332</v>
      </c>
      <c r="D196" s="55">
        <v>1</v>
      </c>
      <c r="E196" s="60">
        <v>29673.5</v>
      </c>
      <c r="F196" s="45" t="s">
        <v>332</v>
      </c>
      <c r="G196" s="135">
        <f>ROUND((E196*D196),2)</f>
        <v>29673.5</v>
      </c>
      <c r="I196" s="601"/>
      <c r="J196" s="604"/>
    </row>
    <row r="197" spans="1:10" ht="15.75">
      <c r="A197" s="221"/>
      <c r="B197" s="221" t="s">
        <v>633</v>
      </c>
      <c r="C197" s="221"/>
      <c r="D197" s="221"/>
      <c r="E197" s="221"/>
      <c r="F197" s="221"/>
      <c r="G197" s="135">
        <f>G196*0.1601</f>
        <v>4750.7273500000001</v>
      </c>
      <c r="H197" s="221"/>
      <c r="I197" s="601"/>
      <c r="J197" s="604"/>
    </row>
    <row r="198" spans="1:10">
      <c r="A198" s="221"/>
      <c r="B198" s="221"/>
      <c r="C198" s="221"/>
      <c r="D198" s="221"/>
      <c r="E198" s="221"/>
      <c r="F198" s="221"/>
      <c r="G198" s="138">
        <f>G196-G197</f>
        <v>24922.772649999999</v>
      </c>
      <c r="H198" s="656" t="s">
        <v>232</v>
      </c>
      <c r="I198" s="601"/>
      <c r="J198" s="604"/>
    </row>
    <row r="199" spans="1:10" ht="85.5" customHeight="1">
      <c r="A199" s="45">
        <v>9</v>
      </c>
      <c r="B199" s="373" t="s">
        <v>334</v>
      </c>
      <c r="C199" s="374"/>
      <c r="D199" s="374"/>
      <c r="E199" s="374"/>
      <c r="F199" s="374"/>
      <c r="G199" s="374"/>
      <c r="H199" s="374"/>
      <c r="I199" s="374"/>
      <c r="J199" s="375"/>
    </row>
    <row r="200" spans="1:10" ht="15.75">
      <c r="A200" s="45" t="s">
        <v>208</v>
      </c>
      <c r="B200" s="126" t="s">
        <v>817</v>
      </c>
      <c r="C200" s="45" t="s">
        <v>634</v>
      </c>
      <c r="D200" s="55">
        <v>1</v>
      </c>
      <c r="E200" s="60">
        <v>3303.75</v>
      </c>
      <c r="F200" s="45" t="s">
        <v>634</v>
      </c>
      <c r="G200" s="135">
        <f>ROUND((E200*D200),2)</f>
        <v>3303.75</v>
      </c>
      <c r="H200" s="221"/>
      <c r="I200" s="221"/>
      <c r="J200" s="221"/>
    </row>
    <row r="201" spans="1:10" ht="15.75">
      <c r="A201" s="221"/>
      <c r="B201" s="221" t="s">
        <v>633</v>
      </c>
      <c r="C201" s="221"/>
      <c r="D201" s="221"/>
      <c r="E201" s="221"/>
      <c r="F201" s="221"/>
      <c r="G201" s="135">
        <f>G200*0.1601</f>
        <v>528.93037500000003</v>
      </c>
      <c r="H201" s="221"/>
      <c r="I201" s="601"/>
      <c r="J201" s="604"/>
    </row>
    <row r="202" spans="1:10">
      <c r="A202" s="221"/>
      <c r="B202" s="221"/>
      <c r="C202" s="221"/>
      <c r="D202" s="221"/>
      <c r="E202" s="221"/>
      <c r="F202" s="221"/>
      <c r="G202" s="137">
        <f>G200-G201</f>
        <v>2774.8196250000001</v>
      </c>
      <c r="H202" s="656" t="s">
        <v>40</v>
      </c>
      <c r="I202" s="601"/>
      <c r="J202" s="604"/>
    </row>
    <row r="203" spans="1:10" ht="15.75">
      <c r="A203" s="45" t="s">
        <v>209</v>
      </c>
      <c r="B203" s="126" t="s">
        <v>818</v>
      </c>
      <c r="C203" s="45" t="s">
        <v>634</v>
      </c>
      <c r="D203" s="55">
        <v>1</v>
      </c>
      <c r="E203" s="60">
        <v>3303.75</v>
      </c>
      <c r="F203" s="45" t="s">
        <v>634</v>
      </c>
      <c r="G203" s="135">
        <f>ROUND((E203*D203),2)</f>
        <v>3303.75</v>
      </c>
      <c r="H203" s="221"/>
      <c r="I203" s="221"/>
      <c r="J203" s="221"/>
    </row>
    <row r="204" spans="1:10" ht="15.75">
      <c r="A204" s="221"/>
      <c r="B204" s="221" t="s">
        <v>633</v>
      </c>
      <c r="C204" s="221"/>
      <c r="D204" s="221"/>
      <c r="E204" s="221"/>
      <c r="F204" s="221"/>
      <c r="G204" s="135">
        <f>G203*0.1601</f>
        <v>528.93037500000003</v>
      </c>
      <c r="H204" s="221"/>
      <c r="I204" s="601"/>
      <c r="J204" s="604"/>
    </row>
    <row r="205" spans="1:10">
      <c r="A205" s="221"/>
      <c r="B205" s="221"/>
      <c r="C205" s="221"/>
      <c r="D205" s="221"/>
      <c r="E205" s="221"/>
      <c r="F205" s="221"/>
      <c r="G205" s="137">
        <f>G203-G204</f>
        <v>2774.8196250000001</v>
      </c>
      <c r="H205" s="656" t="s">
        <v>40</v>
      </c>
      <c r="I205" s="601"/>
      <c r="J205" s="604"/>
    </row>
    <row r="206" spans="1:10" ht="15.75">
      <c r="A206" s="45" t="s">
        <v>210</v>
      </c>
      <c r="B206" s="221" t="s">
        <v>819</v>
      </c>
      <c r="C206" s="45" t="s">
        <v>634</v>
      </c>
      <c r="D206" s="55">
        <v>1</v>
      </c>
      <c r="E206" s="60">
        <v>3303.75</v>
      </c>
      <c r="F206" s="45" t="s">
        <v>634</v>
      </c>
      <c r="G206" s="135">
        <f>ROUND((E206*D206),2)</f>
        <v>3303.75</v>
      </c>
      <c r="H206" s="221"/>
      <c r="I206" s="221"/>
      <c r="J206" s="221"/>
    </row>
    <row r="207" spans="1:10" ht="15.75">
      <c r="A207" s="221"/>
      <c r="B207" s="221"/>
      <c r="C207" s="221"/>
      <c r="D207" s="221"/>
      <c r="E207" s="221"/>
      <c r="F207" s="221"/>
      <c r="G207" s="135">
        <f>G206*0.1601</f>
        <v>528.93037500000003</v>
      </c>
      <c r="H207" s="221"/>
      <c r="I207" s="601"/>
      <c r="J207" s="604"/>
    </row>
    <row r="208" spans="1:10">
      <c r="A208" s="221"/>
      <c r="B208" s="221"/>
      <c r="C208" s="221"/>
      <c r="D208" s="221"/>
      <c r="E208" s="221"/>
      <c r="G208" s="137">
        <f>G206-G207</f>
        <v>2774.8196250000001</v>
      </c>
      <c r="H208" s="656" t="s">
        <v>40</v>
      </c>
      <c r="I208" s="601"/>
      <c r="J208" s="604"/>
    </row>
    <row r="209" spans="1:10" ht="18.75">
      <c r="A209" s="221"/>
      <c r="B209" s="657" t="s">
        <v>820</v>
      </c>
      <c r="C209" s="601"/>
      <c r="D209" s="601"/>
      <c r="E209" s="601"/>
      <c r="F209" s="601"/>
      <c r="G209" s="602"/>
      <c r="H209" s="603"/>
      <c r="I209" s="601"/>
      <c r="J209" s="604"/>
    </row>
    <row r="210" spans="1:10" ht="51.75" customHeight="1">
      <c r="A210" s="45">
        <v>10</v>
      </c>
      <c r="B210" s="304" t="s">
        <v>657</v>
      </c>
      <c r="C210" s="305"/>
      <c r="D210" s="305"/>
      <c r="E210" s="305"/>
      <c r="F210" s="305"/>
      <c r="G210" s="305"/>
      <c r="H210" s="305"/>
      <c r="I210" s="305"/>
      <c r="J210" s="306"/>
    </row>
    <row r="211" spans="1:10" ht="16.899999999999999" customHeight="1">
      <c r="A211" s="45" t="s">
        <v>208</v>
      </c>
      <c r="B211" s="230" t="s">
        <v>907</v>
      </c>
      <c r="C211" s="230"/>
      <c r="D211" s="230"/>
      <c r="E211" s="230"/>
      <c r="F211" s="230"/>
      <c r="G211" s="230"/>
      <c r="H211" s="380" t="s">
        <v>908</v>
      </c>
      <c r="I211" s="381"/>
      <c r="J211" s="382"/>
    </row>
    <row r="212" spans="1:10">
      <c r="A212" s="221"/>
      <c r="B212" s="221"/>
      <c r="C212" s="46">
        <v>1</v>
      </c>
      <c r="D212" s="46" t="s">
        <v>56</v>
      </c>
      <c r="E212" s="46">
        <v>2241</v>
      </c>
      <c r="F212" s="46" t="s">
        <v>82</v>
      </c>
      <c r="G212" s="46">
        <f>ROUND((E212*C212),2)</f>
        <v>2241</v>
      </c>
      <c r="H212" s="221"/>
      <c r="I212" s="221"/>
      <c r="J212" s="221"/>
    </row>
    <row r="213" spans="1:10">
      <c r="A213" s="221"/>
      <c r="B213" s="221" t="s">
        <v>639</v>
      </c>
      <c r="C213" s="221"/>
      <c r="D213" s="221"/>
      <c r="E213" s="221"/>
      <c r="F213" s="221"/>
      <c r="G213" s="46">
        <f>G212*0.05</f>
        <v>112.05000000000001</v>
      </c>
      <c r="H213" s="221"/>
      <c r="I213" s="221"/>
      <c r="J213" s="221"/>
    </row>
    <row r="214" spans="1:10">
      <c r="A214" s="221"/>
      <c r="B214" s="221"/>
      <c r="C214" s="221"/>
      <c r="D214" s="221"/>
      <c r="E214" s="221"/>
      <c r="F214" s="221"/>
      <c r="G214" s="46">
        <f>SUM(G212:G213)</f>
        <v>2353.0500000000002</v>
      </c>
      <c r="H214" s="221"/>
      <c r="I214" s="221"/>
      <c r="J214" s="221"/>
    </row>
    <row r="215" spans="1:10">
      <c r="A215" s="221"/>
      <c r="B215" s="221" t="s">
        <v>628</v>
      </c>
      <c r="C215" s="46"/>
      <c r="D215" s="46"/>
      <c r="E215" s="46"/>
      <c r="F215" s="46"/>
      <c r="G215" s="46">
        <f>G214*0.13615</f>
        <v>320.36775749999998</v>
      </c>
      <c r="H215" s="221"/>
      <c r="I215" s="221"/>
      <c r="J215" s="221"/>
    </row>
    <row r="216" spans="1:10">
      <c r="A216" s="221"/>
      <c r="B216" s="221"/>
      <c r="C216" s="46"/>
      <c r="D216" s="46"/>
      <c r="E216" s="46"/>
      <c r="F216" s="46"/>
      <c r="G216" s="46">
        <f>SUM(G214:G215)</f>
        <v>2673.4177575000003</v>
      </c>
      <c r="H216" s="221"/>
      <c r="I216" s="221"/>
      <c r="J216" s="221"/>
    </row>
    <row r="217" spans="1:10">
      <c r="A217" s="221"/>
      <c r="B217" s="221" t="s">
        <v>411</v>
      </c>
      <c r="C217" s="221"/>
      <c r="D217" s="221"/>
      <c r="E217" s="221"/>
      <c r="F217" s="221"/>
      <c r="G217" s="46">
        <f>G216*0.1601</f>
        <v>428.01418297575003</v>
      </c>
      <c r="H217" s="592"/>
      <c r="I217" s="221"/>
      <c r="J217" s="221"/>
    </row>
    <row r="218" spans="1:10" ht="15.75">
      <c r="A218" s="221"/>
      <c r="B218" s="221"/>
      <c r="C218" s="221"/>
      <c r="D218" s="221"/>
      <c r="E218" s="221"/>
      <c r="F218" s="221"/>
      <c r="G218" s="593">
        <f>G216-G217</f>
        <v>2245.4035745242504</v>
      </c>
      <c r="H218" s="621" t="s">
        <v>82</v>
      </c>
      <c r="I218" s="221"/>
      <c r="J218" s="221"/>
    </row>
    <row r="219" spans="1:10" ht="16.899999999999999" customHeight="1">
      <c r="A219" s="45" t="s">
        <v>209</v>
      </c>
      <c r="B219" s="230" t="s">
        <v>909</v>
      </c>
      <c r="C219" s="230"/>
      <c r="D219" s="230"/>
      <c r="E219" s="230"/>
      <c r="F219" s="230"/>
      <c r="G219" s="230"/>
      <c r="H219" s="380" t="s">
        <v>910</v>
      </c>
      <c r="I219" s="381"/>
      <c r="J219" s="382"/>
    </row>
    <row r="220" spans="1:10">
      <c r="A220" s="221"/>
      <c r="B220" s="221" t="s">
        <v>181</v>
      </c>
      <c r="C220" s="46">
        <v>1</v>
      </c>
      <c r="D220" s="46" t="s">
        <v>56</v>
      </c>
      <c r="E220" s="46">
        <v>3500</v>
      </c>
      <c r="F220" s="46" t="s">
        <v>82</v>
      </c>
      <c r="G220" s="46">
        <f>ROUND((E220*C220),2)</f>
        <v>3500</v>
      </c>
      <c r="H220" s="221"/>
      <c r="I220" s="221"/>
      <c r="J220" s="221"/>
    </row>
    <row r="221" spans="1:10">
      <c r="A221" s="221"/>
      <c r="B221" s="221" t="s">
        <v>639</v>
      </c>
      <c r="C221" s="221"/>
      <c r="D221" s="221"/>
      <c r="E221" s="221"/>
      <c r="F221" s="221"/>
      <c r="G221" s="46">
        <f>G220*0.05</f>
        <v>175</v>
      </c>
      <c r="H221" s="221"/>
      <c r="I221" s="221"/>
      <c r="J221" s="221"/>
    </row>
    <row r="222" spans="1:10">
      <c r="A222" s="221"/>
      <c r="B222" s="221"/>
      <c r="C222" s="221"/>
      <c r="D222" s="221"/>
      <c r="E222" s="221"/>
      <c r="F222" s="221"/>
      <c r="G222" s="46">
        <f>SUM(G220:G221)</f>
        <v>3675</v>
      </c>
      <c r="H222" s="221"/>
      <c r="I222" s="221"/>
      <c r="J222" s="221"/>
    </row>
    <row r="223" spans="1:10">
      <c r="A223" s="221"/>
      <c r="B223" s="221" t="s">
        <v>628</v>
      </c>
      <c r="C223" s="46"/>
      <c r="D223" s="46"/>
      <c r="E223" s="46"/>
      <c r="F223" s="46"/>
      <c r="G223" s="46">
        <f>G222*0.13615</f>
        <v>500.35124999999999</v>
      </c>
      <c r="H223" s="221"/>
      <c r="I223" s="221"/>
      <c r="J223" s="221"/>
    </row>
    <row r="224" spans="1:10">
      <c r="A224" s="221"/>
      <c r="B224" s="221"/>
      <c r="C224" s="46"/>
      <c r="D224" s="46"/>
      <c r="E224" s="46"/>
      <c r="F224" s="46"/>
      <c r="G224" s="46">
        <f>SUM(G222:G223)</f>
        <v>4175.3512499999997</v>
      </c>
      <c r="H224" s="221"/>
      <c r="I224" s="221"/>
      <c r="J224" s="221"/>
    </row>
    <row r="225" spans="1:10">
      <c r="A225" s="221"/>
      <c r="B225" s="221" t="s">
        <v>411</v>
      </c>
      <c r="C225" s="221"/>
      <c r="D225" s="221"/>
      <c r="E225" s="221"/>
      <c r="F225" s="221"/>
      <c r="G225" s="46">
        <f>G224*0.1601</f>
        <v>668.47373512499996</v>
      </c>
      <c r="H225" s="592"/>
      <c r="I225" s="221"/>
      <c r="J225" s="221"/>
    </row>
    <row r="226" spans="1:10" ht="15.75">
      <c r="A226" s="221"/>
      <c r="B226" s="658"/>
      <c r="C226" s="658"/>
      <c r="D226" s="658"/>
      <c r="E226" s="658"/>
      <c r="F226" s="658"/>
      <c r="G226" s="659">
        <f>G224-G225</f>
        <v>3506.8775148749996</v>
      </c>
      <c r="H226" s="660" t="s">
        <v>82</v>
      </c>
      <c r="I226" s="658"/>
      <c r="J226" s="658"/>
    </row>
    <row r="227" spans="1:10" ht="52.5" customHeight="1">
      <c r="A227" s="45">
        <v>11</v>
      </c>
      <c r="B227" s="378" t="s">
        <v>182</v>
      </c>
      <c r="C227" s="378"/>
      <c r="D227" s="378"/>
      <c r="E227" s="378"/>
      <c r="F227" s="378"/>
      <c r="G227" s="378"/>
      <c r="H227" s="378"/>
      <c r="I227" s="378"/>
      <c r="J227" s="378"/>
    </row>
    <row r="228" spans="1:10" ht="30">
      <c r="A228" s="45" t="s">
        <v>208</v>
      </c>
      <c r="B228" s="109" t="s">
        <v>664</v>
      </c>
      <c r="C228" s="230"/>
      <c r="D228" s="230"/>
      <c r="E228" s="230"/>
      <c r="F228" s="230"/>
      <c r="G228" s="230"/>
      <c r="H228" s="230"/>
      <c r="I228" s="235"/>
      <c r="J228" s="235"/>
    </row>
    <row r="229" spans="1:10">
      <c r="A229" s="661"/>
      <c r="B229" s="221" t="s">
        <v>658</v>
      </c>
      <c r="C229" s="221"/>
      <c r="D229" s="221"/>
      <c r="E229" s="221"/>
      <c r="F229" s="221"/>
      <c r="G229" s="221"/>
      <c r="H229" s="221"/>
      <c r="I229" s="221"/>
      <c r="J229" s="221"/>
    </row>
    <row r="230" spans="1:10">
      <c r="A230" s="661"/>
      <c r="B230" s="221"/>
      <c r="C230" s="45" t="s">
        <v>186</v>
      </c>
      <c r="D230" s="616">
        <v>1</v>
      </c>
      <c r="E230" s="616">
        <v>8</v>
      </c>
      <c r="F230" s="616">
        <v>7.85</v>
      </c>
      <c r="G230" s="616">
        <f>F230*E230*D230*3.142*0.408</f>
        <v>80.50558079999999</v>
      </c>
      <c r="H230" s="221" t="s">
        <v>133</v>
      </c>
      <c r="I230" s="221"/>
      <c r="J230" s="221"/>
    </row>
    <row r="231" spans="1:10">
      <c r="A231" s="661"/>
      <c r="B231" s="221" t="s">
        <v>183</v>
      </c>
      <c r="C231" s="221"/>
      <c r="D231" s="616"/>
      <c r="E231" s="616"/>
      <c r="F231" s="616"/>
      <c r="G231" s="616">
        <f>G230*0.05</f>
        <v>4.02527904</v>
      </c>
      <c r="H231" s="221"/>
      <c r="I231" s="221"/>
      <c r="J231" s="221"/>
    </row>
    <row r="232" spans="1:10">
      <c r="A232" s="661"/>
      <c r="B232" s="221"/>
      <c r="C232" s="221"/>
      <c r="D232" s="616"/>
      <c r="E232" s="616"/>
      <c r="F232" s="616"/>
      <c r="G232" s="594">
        <f>SUM(G230:G231)</f>
        <v>84.530859839999991</v>
      </c>
      <c r="H232" s="221" t="s">
        <v>133</v>
      </c>
      <c r="I232" s="221"/>
      <c r="J232" s="221"/>
    </row>
    <row r="233" spans="1:10">
      <c r="A233" s="661"/>
      <c r="B233" s="221"/>
      <c r="C233" s="221"/>
      <c r="D233" s="221"/>
      <c r="E233" s="221"/>
      <c r="F233" s="221"/>
      <c r="G233" s="221"/>
      <c r="H233" s="221"/>
      <c r="I233" s="221"/>
      <c r="J233" s="221"/>
    </row>
    <row r="234" spans="1:10">
      <c r="A234" s="661"/>
      <c r="B234" s="221" t="s">
        <v>659</v>
      </c>
      <c r="C234" s="221"/>
      <c r="D234" s="221"/>
      <c r="E234" s="221"/>
      <c r="F234" s="616">
        <v>84.53</v>
      </c>
      <c r="G234" s="45" t="s">
        <v>184</v>
      </c>
      <c r="H234" s="616">
        <v>48000</v>
      </c>
      <c r="I234" s="221" t="s">
        <v>22</v>
      </c>
      <c r="J234" s="616">
        <f>(H234*F234)/1000</f>
        <v>4057.44</v>
      </c>
    </row>
    <row r="235" spans="1:10">
      <c r="A235" s="661"/>
      <c r="B235" s="221" t="s">
        <v>660</v>
      </c>
      <c r="C235" s="221"/>
      <c r="D235" s="221"/>
      <c r="E235" s="221"/>
      <c r="F235" s="616">
        <v>80.510000000000005</v>
      </c>
      <c r="G235" s="45" t="s">
        <v>184</v>
      </c>
      <c r="H235" s="616">
        <v>6.5</v>
      </c>
      <c r="I235" s="221" t="s">
        <v>134</v>
      </c>
      <c r="J235" s="616">
        <f>H235*F235</f>
        <v>523.31500000000005</v>
      </c>
    </row>
    <row r="236" spans="1:10">
      <c r="A236" s="661"/>
      <c r="B236" s="221" t="s">
        <v>661</v>
      </c>
      <c r="C236" s="221"/>
      <c r="D236" s="221"/>
      <c r="E236" s="221"/>
      <c r="F236" s="616">
        <f>2*3.14*0.408*1</f>
        <v>2.5622400000000001</v>
      </c>
      <c r="G236" s="45" t="s">
        <v>56</v>
      </c>
      <c r="H236" s="616">
        <v>100</v>
      </c>
      <c r="I236" s="221" t="s">
        <v>82</v>
      </c>
      <c r="J236" s="616">
        <f>H236*F236</f>
        <v>256.22399999999999</v>
      </c>
    </row>
    <row r="237" spans="1:10">
      <c r="A237" s="661"/>
      <c r="B237" s="221" t="s">
        <v>662</v>
      </c>
      <c r="C237" s="221"/>
      <c r="D237" s="221"/>
      <c r="E237" s="221"/>
      <c r="F237" s="616">
        <v>80.510000000000005</v>
      </c>
      <c r="G237" s="45" t="s">
        <v>184</v>
      </c>
      <c r="H237" s="616">
        <v>500</v>
      </c>
      <c r="I237" s="221" t="s">
        <v>22</v>
      </c>
      <c r="J237" s="616">
        <f>(F237*H237)/1000</f>
        <v>40.255000000000003</v>
      </c>
    </row>
    <row r="238" spans="1:10">
      <c r="A238" s="661"/>
      <c r="B238" s="221" t="s">
        <v>663</v>
      </c>
      <c r="C238" s="221"/>
      <c r="D238" s="221"/>
      <c r="E238" s="221"/>
      <c r="F238" s="616">
        <v>1</v>
      </c>
      <c r="G238" s="221" t="s">
        <v>41</v>
      </c>
      <c r="H238" s="616">
        <v>397</v>
      </c>
      <c r="I238" s="221" t="s">
        <v>40</v>
      </c>
      <c r="J238" s="616">
        <f>H238*F238</f>
        <v>397</v>
      </c>
    </row>
    <row r="239" spans="1:10">
      <c r="A239" s="661"/>
      <c r="B239" s="221"/>
      <c r="C239" s="221"/>
      <c r="D239" s="221"/>
      <c r="E239" s="221"/>
      <c r="F239" s="221"/>
      <c r="G239" s="221"/>
      <c r="H239" s="221"/>
      <c r="I239" s="221"/>
      <c r="J239" s="616">
        <f>SUM(J234:J238)</f>
        <v>5274.2340000000004</v>
      </c>
    </row>
    <row r="240" spans="1:10">
      <c r="A240" s="661"/>
      <c r="B240" s="221" t="s">
        <v>185</v>
      </c>
      <c r="C240" s="221"/>
      <c r="D240" s="221"/>
      <c r="E240" s="221"/>
      <c r="F240" s="221"/>
      <c r="G240" s="221"/>
      <c r="H240" s="221"/>
      <c r="I240" s="221"/>
      <c r="J240" s="616">
        <f>J239*0.13615</f>
        <v>718.08695910000006</v>
      </c>
    </row>
    <row r="241" spans="1:10" ht="15" customHeight="1">
      <c r="A241" s="221"/>
      <c r="B241" s="221"/>
      <c r="C241" s="221"/>
      <c r="D241" s="221"/>
      <c r="E241" s="221"/>
      <c r="F241" s="221"/>
      <c r="G241" s="221"/>
      <c r="H241" s="221"/>
      <c r="I241" s="221"/>
      <c r="J241" s="594">
        <f>SUM(J239:J240)</f>
        <v>5992.3209591000004</v>
      </c>
    </row>
    <row r="242" spans="1:10" ht="53.25" customHeight="1">
      <c r="A242" s="45">
        <v>12</v>
      </c>
      <c r="B242" s="304" t="s">
        <v>656</v>
      </c>
      <c r="C242" s="305"/>
      <c r="D242" s="305"/>
      <c r="E242" s="305"/>
      <c r="F242" s="305"/>
      <c r="G242" s="305"/>
      <c r="H242" s="305"/>
      <c r="I242" s="305"/>
      <c r="J242" s="306"/>
    </row>
    <row r="243" spans="1:10" ht="18.75" customHeight="1">
      <c r="A243" s="45"/>
      <c r="B243" s="222" t="s">
        <v>955</v>
      </c>
      <c r="C243" s="223"/>
      <c r="D243" s="223"/>
      <c r="E243" s="223"/>
      <c r="F243" s="223"/>
      <c r="G243" s="223"/>
      <c r="H243" s="223"/>
      <c r="I243" s="223"/>
      <c r="J243" s="224"/>
    </row>
    <row r="244" spans="1:10" ht="21.75" customHeight="1">
      <c r="A244" s="45" t="s">
        <v>208</v>
      </c>
      <c r="B244" s="221" t="s">
        <v>954</v>
      </c>
      <c r="C244" s="221"/>
      <c r="D244" s="221"/>
      <c r="E244" s="221"/>
      <c r="F244" s="221"/>
      <c r="G244" s="221"/>
      <c r="H244" s="370" t="s">
        <v>912</v>
      </c>
      <c r="I244" s="371"/>
      <c r="J244" s="372"/>
    </row>
    <row r="245" spans="1:10" ht="19.5" customHeight="1">
      <c r="A245" s="221"/>
      <c r="B245" s="221" t="s">
        <v>627</v>
      </c>
      <c r="C245" s="46">
        <v>1</v>
      </c>
      <c r="D245" s="46" t="s">
        <v>2</v>
      </c>
      <c r="E245" s="46">
        <v>1588</v>
      </c>
      <c r="F245" s="46" t="s">
        <v>23</v>
      </c>
      <c r="G245" s="46">
        <f>ROUND((C245*E245),2)</f>
        <v>1588</v>
      </c>
      <c r="H245" s="221"/>
      <c r="I245" s="221"/>
      <c r="J245" s="221"/>
    </row>
    <row r="246" spans="1:10" ht="19.5" customHeight="1">
      <c r="A246" s="221"/>
      <c r="B246" s="221"/>
      <c r="C246" s="46"/>
      <c r="D246" s="46"/>
      <c r="E246" s="46"/>
      <c r="F246" s="46"/>
      <c r="G246" s="46">
        <f>SUM(G245:G245)</f>
        <v>1588</v>
      </c>
      <c r="H246" s="221"/>
      <c r="I246" s="221"/>
      <c r="J246" s="221"/>
    </row>
    <row r="247" spans="1:10" ht="19.5" customHeight="1">
      <c r="A247" s="221"/>
      <c r="B247" s="221" t="s">
        <v>628</v>
      </c>
      <c r="C247" s="46"/>
      <c r="D247" s="46"/>
      <c r="E247" s="46"/>
      <c r="F247" s="46"/>
      <c r="G247" s="46">
        <f>G246*0.13615</f>
        <v>216.2062</v>
      </c>
      <c r="H247" s="221"/>
      <c r="I247" s="221"/>
      <c r="J247" s="221"/>
    </row>
    <row r="248" spans="1:10" ht="19.5" customHeight="1">
      <c r="A248" s="221"/>
      <c r="B248" s="221"/>
      <c r="C248" s="46"/>
      <c r="D248" s="46"/>
      <c r="E248" s="46"/>
      <c r="F248" s="46"/>
      <c r="G248" s="46">
        <f>SUM(G246:G247)</f>
        <v>1804.2062000000001</v>
      </c>
      <c r="H248" s="221"/>
      <c r="I248" s="221"/>
      <c r="J248" s="221"/>
    </row>
    <row r="249" spans="1:10" ht="19.5" customHeight="1">
      <c r="A249" s="221"/>
      <c r="B249" s="221" t="s">
        <v>411</v>
      </c>
      <c r="C249" s="221"/>
      <c r="D249" s="221"/>
      <c r="E249" s="221"/>
      <c r="F249" s="221"/>
      <c r="G249" s="46">
        <f>G248*0.1601</f>
        <v>288.85341261999997</v>
      </c>
      <c r="H249" s="592"/>
      <c r="I249" s="221"/>
      <c r="J249" s="221"/>
    </row>
    <row r="250" spans="1:10" ht="19.5" customHeight="1">
      <c r="A250" s="221"/>
      <c r="B250" s="221"/>
      <c r="C250" s="221"/>
      <c r="D250" s="221"/>
      <c r="E250" s="221"/>
      <c r="F250" s="221"/>
      <c r="G250" s="593">
        <f>G248-G249</f>
        <v>1515.3527873800001</v>
      </c>
      <c r="H250" s="621" t="s">
        <v>23</v>
      </c>
      <c r="I250" s="221"/>
      <c r="J250" s="221"/>
    </row>
    <row r="251" spans="1:10" ht="19.5" customHeight="1">
      <c r="A251" s="45"/>
      <c r="B251" s="222" t="s">
        <v>956</v>
      </c>
      <c r="C251" s="223"/>
      <c r="D251" s="223"/>
      <c r="E251" s="223"/>
      <c r="F251" s="223"/>
      <c r="G251" s="223"/>
      <c r="H251" s="223"/>
      <c r="I251" s="223"/>
      <c r="J251" s="224"/>
    </row>
    <row r="252" spans="1:10" ht="19.5" customHeight="1">
      <c r="A252" s="45" t="s">
        <v>208</v>
      </c>
      <c r="B252" s="221" t="s">
        <v>957</v>
      </c>
      <c r="C252" s="221"/>
      <c r="D252" s="221"/>
      <c r="E252" s="221"/>
      <c r="F252" s="221"/>
      <c r="G252" s="221"/>
      <c r="H252" s="370" t="s">
        <v>912</v>
      </c>
      <c r="I252" s="371"/>
      <c r="J252" s="372"/>
    </row>
    <row r="253" spans="1:10" ht="19.5" customHeight="1">
      <c r="A253" s="221"/>
      <c r="B253" s="221" t="s">
        <v>627</v>
      </c>
      <c r="C253" s="46">
        <v>1</v>
      </c>
      <c r="D253" s="46" t="s">
        <v>2</v>
      </c>
      <c r="E253" s="46">
        <v>2582</v>
      </c>
      <c r="F253" s="46" t="s">
        <v>23</v>
      </c>
      <c r="G253" s="46">
        <f>ROUND((C253*E253),2)</f>
        <v>2582</v>
      </c>
      <c r="H253" s="221"/>
      <c r="I253" s="221"/>
      <c r="J253" s="221"/>
    </row>
    <row r="254" spans="1:10" ht="19.5" customHeight="1">
      <c r="A254" s="221"/>
      <c r="B254" s="221"/>
      <c r="C254" s="46"/>
      <c r="D254" s="46"/>
      <c r="E254" s="46"/>
      <c r="F254" s="46"/>
      <c r="G254" s="46">
        <f>SUM(G253:G253)</f>
        <v>2582</v>
      </c>
      <c r="H254" s="221"/>
      <c r="I254" s="221"/>
      <c r="J254" s="221"/>
    </row>
    <row r="255" spans="1:10" ht="19.5" customHeight="1">
      <c r="A255" s="221"/>
      <c r="B255" s="221" t="s">
        <v>628</v>
      </c>
      <c r="C255" s="46"/>
      <c r="D255" s="46"/>
      <c r="E255" s="46"/>
      <c r="F255" s="46"/>
      <c r="G255" s="46">
        <f>G254*0.13615</f>
        <v>351.53929999999997</v>
      </c>
      <c r="H255" s="221"/>
      <c r="I255" s="221"/>
      <c r="J255" s="221"/>
    </row>
    <row r="256" spans="1:10" ht="19.5" customHeight="1">
      <c r="A256" s="221"/>
      <c r="B256" s="221"/>
      <c r="C256" s="46"/>
      <c r="D256" s="46"/>
      <c r="E256" s="46"/>
      <c r="F256" s="46"/>
      <c r="G256" s="46">
        <f>SUM(G254:G255)</f>
        <v>2933.5392999999999</v>
      </c>
      <c r="H256" s="221"/>
      <c r="I256" s="221"/>
      <c r="J256" s="221"/>
    </row>
    <row r="257" spans="1:10" ht="19.5" customHeight="1">
      <c r="A257" s="221"/>
      <c r="B257" s="221" t="s">
        <v>411</v>
      </c>
      <c r="C257" s="221"/>
      <c r="D257" s="221"/>
      <c r="E257" s="221"/>
      <c r="F257" s="221"/>
      <c r="G257" s="46">
        <f>G256*0.1601</f>
        <v>469.65964192999996</v>
      </c>
      <c r="H257" s="592"/>
      <c r="I257" s="221"/>
      <c r="J257" s="221"/>
    </row>
    <row r="258" spans="1:10" ht="19.5" customHeight="1">
      <c r="A258" s="221"/>
      <c r="B258" s="221"/>
      <c r="C258" s="221"/>
      <c r="D258" s="221"/>
      <c r="E258" s="221"/>
      <c r="F258" s="221"/>
      <c r="G258" s="593">
        <f>G256-G257</f>
        <v>2463.87965807</v>
      </c>
      <c r="H258" s="621" t="s">
        <v>23</v>
      </c>
      <c r="I258" s="221"/>
      <c r="J258" s="221"/>
    </row>
    <row r="259" spans="1:10" ht="17.25" customHeight="1">
      <c r="A259" s="45"/>
      <c r="B259" s="222" t="s">
        <v>828</v>
      </c>
      <c r="C259" s="223"/>
      <c r="D259" s="223"/>
      <c r="E259" s="223"/>
      <c r="F259" s="223"/>
      <c r="G259" s="223"/>
      <c r="H259" s="223"/>
      <c r="I259" s="223"/>
      <c r="J259" s="224"/>
    </row>
    <row r="260" spans="1:10">
      <c r="A260" s="45" t="s">
        <v>210</v>
      </c>
      <c r="B260" s="221" t="s">
        <v>958</v>
      </c>
      <c r="C260" s="221"/>
      <c r="D260" s="221"/>
      <c r="E260" s="221"/>
      <c r="F260" s="221"/>
      <c r="G260" s="221"/>
      <c r="H260" s="370" t="s">
        <v>912</v>
      </c>
      <c r="I260" s="371"/>
      <c r="J260" s="372"/>
    </row>
    <row r="261" spans="1:10">
      <c r="A261" s="221"/>
      <c r="B261" s="221" t="s">
        <v>627</v>
      </c>
      <c r="C261" s="46">
        <v>1</v>
      </c>
      <c r="D261" s="46" t="s">
        <v>2</v>
      </c>
      <c r="E261" s="46">
        <v>5322</v>
      </c>
      <c r="F261" s="46" t="s">
        <v>23</v>
      </c>
      <c r="G261" s="46">
        <f>ROUND((C261*E261),2)</f>
        <v>5322</v>
      </c>
      <c r="H261" s="221"/>
      <c r="I261" s="221"/>
      <c r="J261" s="221"/>
    </row>
    <row r="262" spans="1:10">
      <c r="A262" s="221"/>
      <c r="B262" s="221"/>
      <c r="C262" s="46"/>
      <c r="D262" s="46"/>
      <c r="E262" s="46"/>
      <c r="F262" s="46"/>
      <c r="G262" s="46">
        <f>SUM(G261:G261)</f>
        <v>5322</v>
      </c>
      <c r="H262" s="221"/>
      <c r="I262" s="221"/>
      <c r="J262" s="221"/>
    </row>
    <row r="263" spans="1:10">
      <c r="A263" s="221"/>
      <c r="B263" s="221" t="s">
        <v>628</v>
      </c>
      <c r="C263" s="46"/>
      <c r="D263" s="46"/>
      <c r="E263" s="46"/>
      <c r="F263" s="46"/>
      <c r="G263" s="46">
        <f>G262*0.13615</f>
        <v>724.59029999999996</v>
      </c>
      <c r="H263" s="221"/>
      <c r="I263" s="221"/>
      <c r="J263" s="221"/>
    </row>
    <row r="264" spans="1:10">
      <c r="A264" s="221"/>
      <c r="B264" s="221"/>
      <c r="C264" s="46"/>
      <c r="D264" s="46"/>
      <c r="E264" s="46"/>
      <c r="F264" s="46"/>
      <c r="G264" s="46">
        <f>SUM(G262:G263)</f>
        <v>6046.5902999999998</v>
      </c>
      <c r="H264" s="221"/>
      <c r="I264" s="221"/>
      <c r="J264" s="221"/>
    </row>
    <row r="265" spans="1:10">
      <c r="A265" s="221"/>
      <c r="B265" s="221" t="s">
        <v>411</v>
      </c>
      <c r="C265" s="221"/>
      <c r="D265" s="221"/>
      <c r="E265" s="221"/>
      <c r="F265" s="221"/>
      <c r="G265" s="46">
        <f>G264*0.1601</f>
        <v>968.05910702999995</v>
      </c>
      <c r="H265" s="592"/>
      <c r="I265" s="221"/>
      <c r="J265" s="221"/>
    </row>
    <row r="266" spans="1:10" ht="15.75">
      <c r="A266" s="221"/>
      <c r="B266" s="221"/>
      <c r="C266" s="221"/>
      <c r="D266" s="221"/>
      <c r="E266" s="221"/>
      <c r="F266" s="221"/>
      <c r="G266" s="593">
        <f>G264-G265</f>
        <v>5078.5311929700001</v>
      </c>
      <c r="H266" s="621" t="s">
        <v>23</v>
      </c>
      <c r="I266" s="221"/>
      <c r="J266" s="221"/>
    </row>
    <row r="267" spans="1:10" ht="61.5" customHeight="1">
      <c r="A267" s="45">
        <v>13</v>
      </c>
      <c r="B267" s="304" t="s">
        <v>368</v>
      </c>
      <c r="C267" s="305"/>
      <c r="D267" s="305"/>
      <c r="E267" s="305"/>
      <c r="F267" s="305"/>
      <c r="G267" s="305"/>
      <c r="H267" s="305"/>
      <c r="I267" s="305"/>
      <c r="J267" s="306"/>
    </row>
    <row r="268" spans="1:10">
      <c r="A268" s="45" t="s">
        <v>208</v>
      </c>
      <c r="B268" s="591" t="s">
        <v>911</v>
      </c>
      <c r="C268" s="45"/>
      <c r="D268" s="45"/>
      <c r="E268" s="45"/>
      <c r="F268" s="45"/>
      <c r="G268" s="45"/>
      <c r="H268" s="370" t="s">
        <v>914</v>
      </c>
      <c r="I268" s="662"/>
      <c r="J268" s="663"/>
    </row>
    <row r="269" spans="1:10">
      <c r="A269" s="221"/>
      <c r="B269" s="221" t="s">
        <v>369</v>
      </c>
      <c r="C269" s="46">
        <v>1</v>
      </c>
      <c r="D269" s="45" t="s">
        <v>41</v>
      </c>
      <c r="E269" s="46">
        <v>707</v>
      </c>
      <c r="F269" s="45" t="s">
        <v>40</v>
      </c>
      <c r="G269" s="46">
        <f>E269*C269</f>
        <v>707</v>
      </c>
      <c r="H269" s="221"/>
      <c r="I269" s="221"/>
      <c r="J269" s="221"/>
    </row>
    <row r="270" spans="1:10">
      <c r="A270" s="221"/>
      <c r="B270" s="221" t="s">
        <v>385</v>
      </c>
      <c r="C270" s="46">
        <v>1</v>
      </c>
      <c r="D270" s="45" t="s">
        <v>2</v>
      </c>
      <c r="E270" s="46">
        <v>56.8</v>
      </c>
      <c r="F270" s="45" t="s">
        <v>23</v>
      </c>
      <c r="G270" s="46">
        <f>E270*C270</f>
        <v>56.8</v>
      </c>
      <c r="H270" s="370" t="s">
        <v>913</v>
      </c>
      <c r="I270" s="662"/>
      <c r="J270" s="663"/>
    </row>
    <row r="271" spans="1:10">
      <c r="A271" s="221"/>
      <c r="B271" s="221" t="s">
        <v>370</v>
      </c>
      <c r="C271" s="46"/>
      <c r="D271" s="45"/>
      <c r="E271" s="46"/>
      <c r="F271" s="45"/>
      <c r="G271" s="46"/>
      <c r="H271" s="221"/>
      <c r="I271" s="221"/>
      <c r="J271" s="221"/>
    </row>
    <row r="272" spans="1:10">
      <c r="A272" s="221"/>
      <c r="B272" s="221" t="s">
        <v>915</v>
      </c>
      <c r="C272" s="46"/>
      <c r="D272" s="45"/>
      <c r="E272" s="46"/>
      <c r="F272" s="45"/>
      <c r="G272" s="46"/>
      <c r="H272" s="221"/>
      <c r="I272" s="221"/>
      <c r="J272" s="221"/>
    </row>
    <row r="273" spans="1:10">
      <c r="A273" s="221"/>
      <c r="B273" s="221" t="s">
        <v>916</v>
      </c>
      <c r="C273" s="46"/>
      <c r="D273" s="45"/>
      <c r="E273" s="46"/>
      <c r="F273" s="45"/>
      <c r="G273" s="46">
        <f>25.03+28.05</f>
        <v>53.08</v>
      </c>
      <c r="H273" s="370" t="s">
        <v>917</v>
      </c>
      <c r="I273" s="662"/>
      <c r="J273" s="663"/>
    </row>
    <row r="274" spans="1:10">
      <c r="A274" s="221"/>
      <c r="B274" s="221" t="s">
        <v>371</v>
      </c>
      <c r="C274" s="46">
        <v>1</v>
      </c>
      <c r="D274" s="45" t="s">
        <v>41</v>
      </c>
      <c r="E274" s="46">
        <v>23</v>
      </c>
      <c r="F274" s="45" t="s">
        <v>40</v>
      </c>
      <c r="G274" s="46">
        <f>E274*C274</f>
        <v>23</v>
      </c>
      <c r="H274" s="370" t="s">
        <v>918</v>
      </c>
      <c r="I274" s="662"/>
      <c r="J274" s="663"/>
    </row>
    <row r="275" spans="1:10">
      <c r="A275" s="221"/>
      <c r="B275" s="221"/>
      <c r="C275" s="45"/>
      <c r="D275" s="45"/>
      <c r="E275" s="45"/>
      <c r="F275" s="45"/>
      <c r="G275" s="46">
        <f>SUM(G269:G274)</f>
        <v>839.88</v>
      </c>
      <c r="H275" s="221"/>
      <c r="I275" s="221"/>
      <c r="J275" s="221"/>
    </row>
    <row r="276" spans="1:10">
      <c r="A276" s="221"/>
      <c r="B276" s="221" t="s">
        <v>372</v>
      </c>
      <c r="C276" s="45"/>
      <c r="D276" s="45"/>
      <c r="E276" s="45"/>
      <c r="F276" s="45"/>
      <c r="G276" s="46">
        <f>G275*0.13615</f>
        <v>114.349662</v>
      </c>
      <c r="H276" s="221"/>
      <c r="I276" s="221"/>
      <c r="J276" s="221"/>
    </row>
    <row r="277" spans="1:10">
      <c r="A277" s="221"/>
      <c r="B277" s="221"/>
      <c r="C277" s="45"/>
      <c r="D277" s="45"/>
      <c r="E277" s="45"/>
      <c r="F277" s="45"/>
      <c r="G277" s="46">
        <f>SUM(G275:G276)</f>
        <v>954.22966199999996</v>
      </c>
      <c r="I277" s="221"/>
      <c r="J277" s="221"/>
    </row>
    <row r="278" spans="1:10">
      <c r="A278" s="221"/>
      <c r="B278" s="221" t="s">
        <v>411</v>
      </c>
      <c r="C278" s="221"/>
      <c r="D278" s="221"/>
      <c r="E278" s="221"/>
      <c r="F278" s="221"/>
      <c r="G278" s="46">
        <f>G277*0.1601</f>
        <v>152.77216888619998</v>
      </c>
      <c r="H278" s="592"/>
      <c r="I278" s="221"/>
      <c r="J278" s="221"/>
    </row>
    <row r="279" spans="1:10" ht="15.75">
      <c r="A279" s="221"/>
      <c r="B279" s="221"/>
      <c r="C279" s="221"/>
      <c r="D279" s="221"/>
      <c r="E279" s="221"/>
      <c r="F279" s="221"/>
      <c r="G279" s="593">
        <f>G277-G278</f>
        <v>801.45749311379996</v>
      </c>
      <c r="H279" s="621" t="s">
        <v>40</v>
      </c>
      <c r="I279" s="221"/>
      <c r="J279" s="221"/>
    </row>
    <row r="280" spans="1:10" ht="49.5" customHeight="1">
      <c r="A280" s="45">
        <v>14</v>
      </c>
      <c r="B280" s="304" t="s">
        <v>249</v>
      </c>
      <c r="C280" s="305"/>
      <c r="D280" s="305"/>
      <c r="E280" s="305"/>
      <c r="F280" s="305"/>
      <c r="G280" s="305"/>
      <c r="H280" s="305"/>
      <c r="I280" s="305"/>
      <c r="J280" s="306"/>
    </row>
    <row r="281" spans="1:10" ht="15.75">
      <c r="A281" s="45" t="s">
        <v>208</v>
      </c>
      <c r="B281" s="221" t="s">
        <v>824</v>
      </c>
      <c r="C281" s="45" t="s">
        <v>23</v>
      </c>
      <c r="D281" s="46">
        <v>1</v>
      </c>
      <c r="E281" s="46">
        <v>4850</v>
      </c>
      <c r="F281" s="135">
        <f>ROUND((E281*D281),2)</f>
        <v>4850</v>
      </c>
      <c r="G281" s="664"/>
      <c r="H281" s="221"/>
      <c r="I281" s="601"/>
      <c r="J281" s="604"/>
    </row>
    <row r="282" spans="1:10">
      <c r="A282" s="221"/>
      <c r="B282" s="221" t="s">
        <v>633</v>
      </c>
      <c r="C282" s="221"/>
      <c r="D282" s="221"/>
      <c r="E282" s="221"/>
      <c r="F282" s="203">
        <f>F281*0.1601</f>
        <v>776.48500000000001</v>
      </c>
      <c r="G282" s="665"/>
      <c r="H282" s="221"/>
      <c r="I282" s="601"/>
      <c r="J282" s="604"/>
    </row>
    <row r="283" spans="1:10">
      <c r="A283" s="221"/>
      <c r="B283" s="221"/>
      <c r="C283" s="221"/>
      <c r="D283" s="221"/>
      <c r="E283" s="221"/>
      <c r="F283" s="203">
        <f>F281-F282</f>
        <v>4073.5149999999999</v>
      </c>
      <c r="G283" s="232" t="s">
        <v>23</v>
      </c>
      <c r="H283" s="221"/>
      <c r="I283" s="601"/>
      <c r="J283" s="604"/>
    </row>
    <row r="284" spans="1:10" ht="76.5" customHeight="1">
      <c r="A284" s="45">
        <v>15</v>
      </c>
      <c r="B284" s="373" t="s">
        <v>929</v>
      </c>
      <c r="C284" s="374"/>
      <c r="D284" s="374"/>
      <c r="E284" s="374"/>
      <c r="F284" s="374"/>
      <c r="G284" s="374"/>
      <c r="H284" s="374"/>
      <c r="I284" s="374"/>
      <c r="J284" s="375"/>
    </row>
    <row r="285" spans="1:10" ht="15.75">
      <c r="A285" s="45" t="s">
        <v>208</v>
      </c>
      <c r="B285" s="614" t="s">
        <v>931</v>
      </c>
      <c r="C285" s="45" t="s">
        <v>23</v>
      </c>
      <c r="D285" s="46">
        <v>1</v>
      </c>
      <c r="E285" s="46">
        <v>1782</v>
      </c>
      <c r="F285" s="135">
        <f>ROUND((E285*D285),2)</f>
        <v>1782</v>
      </c>
      <c r="G285" s="666" t="s">
        <v>930</v>
      </c>
      <c r="H285" s="667"/>
      <c r="I285" s="667"/>
      <c r="J285" s="668"/>
    </row>
    <row r="286" spans="1:10">
      <c r="A286" s="221"/>
      <c r="B286" s="221" t="s">
        <v>633</v>
      </c>
      <c r="C286" s="221"/>
      <c r="D286" s="221"/>
      <c r="E286" s="221"/>
      <c r="F286" s="203">
        <f>F285*0.1601</f>
        <v>285.29820000000001</v>
      </c>
      <c r="G286" s="665"/>
      <c r="H286" s="664"/>
      <c r="I286" s="669"/>
      <c r="J286" s="670"/>
    </row>
    <row r="287" spans="1:10" ht="15" customHeight="1">
      <c r="A287" s="221"/>
      <c r="B287" s="221"/>
      <c r="C287" s="221"/>
      <c r="D287" s="221"/>
      <c r="E287" s="221"/>
      <c r="F287" s="203">
        <f>F285-F286</f>
        <v>1496.7018</v>
      </c>
      <c r="G287" s="232" t="s">
        <v>23</v>
      </c>
      <c r="H287" s="664"/>
      <c r="I287" s="669"/>
      <c r="J287" s="670"/>
    </row>
    <row r="288" spans="1:10" ht="65.25" customHeight="1">
      <c r="A288" s="45">
        <v>16</v>
      </c>
      <c r="B288" s="304" t="s">
        <v>937</v>
      </c>
      <c r="C288" s="305"/>
      <c r="D288" s="305"/>
      <c r="E288" s="305"/>
      <c r="F288" s="305"/>
      <c r="G288" s="305"/>
      <c r="H288" s="305"/>
      <c r="I288" s="305"/>
      <c r="J288" s="306"/>
    </row>
    <row r="289" spans="1:10" ht="15" customHeight="1">
      <c r="A289" s="45"/>
      <c r="B289" s="591" t="s">
        <v>938</v>
      </c>
      <c r="C289" s="221"/>
      <c r="D289" s="221"/>
      <c r="E289" s="221"/>
      <c r="F289" s="203"/>
      <c r="G289" s="232"/>
      <c r="H289" s="664"/>
      <c r="I289" s="664"/>
      <c r="J289" s="670"/>
    </row>
    <row r="290" spans="1:10" ht="15" customHeight="1">
      <c r="A290" s="45"/>
      <c r="B290" s="591" t="s">
        <v>939</v>
      </c>
      <c r="C290" s="221"/>
      <c r="D290" s="221"/>
      <c r="E290" s="221"/>
      <c r="F290" s="203"/>
      <c r="G290" s="232"/>
      <c r="H290" s="664"/>
      <c r="I290" s="664"/>
      <c r="J290" s="670"/>
    </row>
    <row r="291" spans="1:10" ht="15" customHeight="1">
      <c r="A291" s="45"/>
      <c r="B291" s="591" t="s">
        <v>713</v>
      </c>
      <c r="C291" s="221"/>
      <c r="D291" s="221"/>
      <c r="E291" s="221"/>
      <c r="F291" s="203"/>
      <c r="G291" s="232"/>
      <c r="H291" s="664"/>
      <c r="I291" s="664"/>
      <c r="J291" s="670"/>
    </row>
    <row r="292" spans="1:10" ht="15" customHeight="1">
      <c r="A292" s="45"/>
      <c r="B292" s="221" t="s">
        <v>700</v>
      </c>
      <c r="C292" s="45">
        <v>0.31</v>
      </c>
      <c r="D292" s="221" t="s">
        <v>871</v>
      </c>
      <c r="E292" s="45">
        <v>425</v>
      </c>
      <c r="F292" s="203" t="s">
        <v>871</v>
      </c>
      <c r="G292" s="232">
        <f>E292*C292</f>
        <v>131.75</v>
      </c>
      <c r="H292" s="664"/>
      <c r="I292" s="664"/>
      <c r="J292" s="670"/>
    </row>
    <row r="293" spans="1:10" ht="15" customHeight="1">
      <c r="A293" s="45"/>
      <c r="B293" s="221" t="s">
        <v>702</v>
      </c>
      <c r="C293" s="46">
        <v>0</v>
      </c>
      <c r="D293" s="221"/>
      <c r="E293" s="46">
        <v>124</v>
      </c>
      <c r="F293" s="203"/>
      <c r="G293" s="232">
        <f>E293*C293</f>
        <v>0</v>
      </c>
      <c r="H293" s="664"/>
      <c r="I293" s="664"/>
      <c r="J293" s="670"/>
    </row>
    <row r="294" spans="1:10" ht="15" customHeight="1">
      <c r="A294" s="45"/>
      <c r="B294" s="221"/>
      <c r="C294" s="46"/>
      <c r="D294" s="221"/>
      <c r="E294" s="46"/>
      <c r="F294" s="203"/>
      <c r="G294" s="203">
        <f>SUM(G292:G293)</f>
        <v>131.75</v>
      </c>
      <c r="H294" s="664"/>
      <c r="I294" s="664"/>
      <c r="J294" s="670"/>
    </row>
    <row r="295" spans="1:10" ht="15" customHeight="1">
      <c r="A295" s="45"/>
      <c r="B295" s="221" t="s">
        <v>940</v>
      </c>
      <c r="C295" s="615">
        <v>0.13614999999999999</v>
      </c>
      <c r="D295" s="221"/>
      <c r="E295" s="46"/>
      <c r="F295" s="203"/>
      <c r="G295" s="203">
        <f>G294*0.13615</f>
        <v>17.937762499999998</v>
      </c>
      <c r="H295" s="664"/>
      <c r="I295" s="664"/>
      <c r="J295" s="670"/>
    </row>
    <row r="296" spans="1:10" ht="15" customHeight="1">
      <c r="A296" s="45"/>
      <c r="B296" s="221" t="s">
        <v>941</v>
      </c>
      <c r="C296" s="46"/>
      <c r="D296" s="221"/>
      <c r="E296" s="46"/>
      <c r="F296" s="203"/>
      <c r="G296" s="203">
        <f>SUM(G294:G295)</f>
        <v>149.68776249999999</v>
      </c>
      <c r="H296" s="664" t="s">
        <v>771</v>
      </c>
      <c r="I296" s="664"/>
      <c r="J296" s="670"/>
    </row>
    <row r="297" spans="1:10" ht="15" customHeight="1">
      <c r="A297" s="45"/>
      <c r="B297" s="221" t="s">
        <v>942</v>
      </c>
      <c r="C297" s="46"/>
      <c r="D297" s="221"/>
      <c r="E297" s="46"/>
      <c r="F297" s="203"/>
      <c r="G297" s="203">
        <f>G296/6</f>
        <v>24.947960416666664</v>
      </c>
      <c r="H297" s="221"/>
      <c r="I297" s="664"/>
      <c r="J297" s="670"/>
    </row>
    <row r="298" spans="1:10" ht="15" customHeight="1">
      <c r="A298" s="45"/>
      <c r="B298" s="221" t="s">
        <v>866</v>
      </c>
      <c r="C298" s="46"/>
      <c r="D298" s="221"/>
      <c r="E298" s="46"/>
      <c r="F298" s="203"/>
      <c r="G298" s="203">
        <v>0.05</v>
      </c>
      <c r="H298" s="664"/>
      <c r="I298" s="664"/>
      <c r="J298" s="670"/>
    </row>
    <row r="299" spans="1:10" ht="15" customHeight="1">
      <c r="A299" s="221"/>
      <c r="B299" s="221"/>
      <c r="C299" s="221"/>
      <c r="D299" s="221"/>
      <c r="E299" s="221"/>
      <c r="F299" s="203"/>
      <c r="G299" s="203">
        <f>SUM(G297:G298)</f>
        <v>24.997960416666665</v>
      </c>
      <c r="H299" s="664" t="s">
        <v>709</v>
      </c>
      <c r="I299" s="664"/>
      <c r="J299" s="670"/>
    </row>
    <row r="300" spans="1:10" ht="15" customHeight="1">
      <c r="A300" s="221"/>
      <c r="B300" s="600" t="s">
        <v>711</v>
      </c>
      <c r="C300" s="221"/>
      <c r="D300" s="221"/>
      <c r="E300" s="221"/>
      <c r="F300" s="203"/>
      <c r="G300" s="203">
        <f>G299*0.1601</f>
        <v>4.002173462708333</v>
      </c>
      <c r="H300" s="664"/>
      <c r="I300" s="664"/>
      <c r="J300" s="670"/>
    </row>
    <row r="301" spans="1:10" ht="15" customHeight="1">
      <c r="A301" s="221"/>
      <c r="B301" s="600"/>
      <c r="C301" s="221"/>
      <c r="D301" s="221"/>
      <c r="E301" s="221"/>
      <c r="F301" s="203"/>
      <c r="G301" s="671">
        <f>G299-G300</f>
        <v>20.99578695395833</v>
      </c>
      <c r="H301" s="672" t="s">
        <v>709</v>
      </c>
      <c r="I301" s="664"/>
      <c r="J301" s="670"/>
    </row>
    <row r="302" spans="1:10" ht="66.75" customHeight="1">
      <c r="A302" s="45">
        <v>17</v>
      </c>
      <c r="B302" s="304" t="s">
        <v>30</v>
      </c>
      <c r="C302" s="305"/>
      <c r="D302" s="305"/>
      <c r="E302" s="305"/>
      <c r="F302" s="305"/>
      <c r="G302" s="305"/>
      <c r="H302" s="305"/>
      <c r="I302" s="305"/>
      <c r="J302" s="306"/>
    </row>
    <row r="303" spans="1:10" ht="15" customHeight="1">
      <c r="A303" s="221"/>
      <c r="B303" s="221"/>
      <c r="C303" s="221"/>
      <c r="D303" s="221"/>
      <c r="E303" s="221"/>
      <c r="F303" s="221"/>
      <c r="G303" s="221"/>
      <c r="H303" s="221"/>
      <c r="I303" s="221"/>
      <c r="J303" s="221"/>
    </row>
    <row r="304" spans="1:10" ht="15" customHeight="1">
      <c r="A304" s="45" t="s">
        <v>208</v>
      </c>
      <c r="B304" s="591" t="s">
        <v>905</v>
      </c>
      <c r="C304" s="221"/>
      <c r="D304" s="221"/>
      <c r="E304" s="221"/>
      <c r="F304" s="221"/>
      <c r="G304" s="221"/>
      <c r="H304" s="370" t="s">
        <v>906</v>
      </c>
      <c r="I304" s="371"/>
      <c r="J304" s="372"/>
    </row>
    <row r="305" spans="1:10" ht="15" customHeight="1">
      <c r="A305" s="221"/>
      <c r="B305" s="221" t="s">
        <v>181</v>
      </c>
      <c r="C305" s="46">
        <v>1</v>
      </c>
      <c r="D305" s="45" t="s">
        <v>133</v>
      </c>
      <c r="E305" s="616">
        <v>105</v>
      </c>
      <c r="F305" s="221" t="s">
        <v>134</v>
      </c>
      <c r="G305" s="46">
        <f>E305*C305</f>
        <v>105</v>
      </c>
      <c r="H305" s="221"/>
      <c r="I305" s="221"/>
      <c r="J305" s="221"/>
    </row>
    <row r="306" spans="1:10" ht="15" customHeight="1">
      <c r="A306" s="221"/>
      <c r="B306" s="221" t="s">
        <v>176</v>
      </c>
      <c r="C306" s="221"/>
      <c r="D306" s="221"/>
      <c r="E306" s="221"/>
      <c r="F306" s="221"/>
      <c r="G306" s="46">
        <f>G305*0.05</f>
        <v>5.25</v>
      </c>
      <c r="H306" s="221"/>
      <c r="I306" s="221"/>
      <c r="J306" s="221"/>
    </row>
    <row r="307" spans="1:10" ht="15" customHeight="1">
      <c r="A307" s="221"/>
      <c r="B307" s="221"/>
      <c r="C307" s="221"/>
      <c r="D307" s="221"/>
      <c r="E307" s="221"/>
      <c r="F307" s="221"/>
      <c r="G307" s="46">
        <f>SUM(G305:G306)</f>
        <v>110.25</v>
      </c>
      <c r="H307" s="221"/>
      <c r="I307" s="221"/>
      <c r="J307" s="221"/>
    </row>
    <row r="308" spans="1:10" ht="15" customHeight="1">
      <c r="A308" s="221"/>
      <c r="B308" s="221" t="s">
        <v>175</v>
      </c>
      <c r="C308" s="221"/>
      <c r="D308" s="221"/>
      <c r="E308" s="221"/>
      <c r="F308" s="221"/>
      <c r="G308" s="46">
        <f>G307*0.13615</f>
        <v>15.0105375</v>
      </c>
      <c r="H308" s="221"/>
      <c r="I308" s="221"/>
      <c r="J308" s="221"/>
    </row>
    <row r="309" spans="1:10" ht="15" customHeight="1">
      <c r="A309" s="221"/>
      <c r="B309" s="221"/>
      <c r="C309" s="221"/>
      <c r="D309" s="221"/>
      <c r="E309" s="221"/>
      <c r="F309" s="221"/>
      <c r="G309" s="138">
        <f>SUM(G307:G308)</f>
        <v>125.2605375</v>
      </c>
      <c r="H309" s="221"/>
      <c r="I309" s="221"/>
      <c r="J309" s="221"/>
    </row>
    <row r="310" spans="1:10" ht="15" customHeight="1">
      <c r="A310" s="221"/>
      <c r="B310" s="221" t="s">
        <v>411</v>
      </c>
      <c r="C310" s="221"/>
      <c r="D310" s="221"/>
      <c r="E310" s="221"/>
      <c r="F310" s="221"/>
      <c r="G310" s="46">
        <f>G309*0.1601</f>
        <v>20.05421205375</v>
      </c>
      <c r="H310" s="592"/>
      <c r="I310" s="221"/>
      <c r="J310" s="221"/>
    </row>
    <row r="311" spans="1:10" ht="15" customHeight="1">
      <c r="A311" s="221"/>
      <c r="B311" s="221"/>
      <c r="C311" s="221"/>
      <c r="D311" s="221"/>
      <c r="E311" s="221"/>
      <c r="F311" s="221"/>
      <c r="G311" s="593">
        <f>G309-G310</f>
        <v>105.20632544624999</v>
      </c>
      <c r="H311" s="621" t="s">
        <v>134</v>
      </c>
      <c r="I311" s="221"/>
      <c r="J311" s="221"/>
    </row>
    <row r="312" spans="1:10" ht="64.5" customHeight="1">
      <c r="A312" s="45">
        <v>18</v>
      </c>
      <c r="B312" s="386" t="s">
        <v>295</v>
      </c>
      <c r="C312" s="387"/>
      <c r="D312" s="387"/>
      <c r="E312" s="387"/>
      <c r="F312" s="387"/>
      <c r="G312" s="387"/>
      <c r="H312" s="387"/>
      <c r="I312" s="387"/>
      <c r="J312" s="387"/>
    </row>
    <row r="313" spans="1:10" ht="31.5">
      <c r="A313" s="45" t="s">
        <v>208</v>
      </c>
      <c r="B313" s="119" t="s">
        <v>665</v>
      </c>
      <c r="C313" s="119"/>
      <c r="D313" s="230"/>
      <c r="E313" s="230"/>
      <c r="F313" s="230"/>
      <c r="G313" s="230"/>
      <c r="H313" s="230"/>
      <c r="I313" s="230"/>
      <c r="J313" s="230"/>
    </row>
    <row r="314" spans="1:10">
      <c r="A314" s="221"/>
      <c r="B314" s="221" t="s">
        <v>285</v>
      </c>
      <c r="C314" s="45">
        <v>4</v>
      </c>
      <c r="D314" s="45">
        <v>1.3</v>
      </c>
      <c r="E314" s="45">
        <f>D314*C314</f>
        <v>5.2</v>
      </c>
      <c r="F314" s="221"/>
      <c r="G314" s="221"/>
      <c r="H314" s="221"/>
      <c r="I314" s="221"/>
      <c r="J314" s="221"/>
    </row>
    <row r="315" spans="1:10">
      <c r="A315" s="221"/>
      <c r="B315" s="221" t="s">
        <v>286</v>
      </c>
      <c r="C315" s="45">
        <f>2*4</f>
        <v>8</v>
      </c>
      <c r="D315" s="45">
        <v>1</v>
      </c>
      <c r="E315" s="45">
        <f>D315*C315</f>
        <v>8</v>
      </c>
      <c r="F315" s="221"/>
      <c r="G315" s="221"/>
      <c r="H315" s="221"/>
      <c r="I315" s="221"/>
      <c r="J315" s="221"/>
    </row>
    <row r="316" spans="1:10">
      <c r="A316" s="221"/>
      <c r="B316" s="221" t="s">
        <v>296</v>
      </c>
      <c r="C316" s="45">
        <v>4</v>
      </c>
      <c r="D316" s="45">
        <v>0.6</v>
      </c>
      <c r="E316" s="45">
        <f>D316*C316</f>
        <v>2.4</v>
      </c>
      <c r="F316" s="221"/>
      <c r="G316" s="221"/>
      <c r="H316" s="221"/>
      <c r="I316" s="221"/>
      <c r="J316" s="221"/>
    </row>
    <row r="317" spans="1:10">
      <c r="A317" s="221"/>
      <c r="B317" s="221"/>
      <c r="C317" s="45"/>
      <c r="D317" s="45"/>
      <c r="E317" s="45">
        <f>SUM(E314:E316)</f>
        <v>15.6</v>
      </c>
      <c r="G317" s="221"/>
      <c r="I317" s="221"/>
      <c r="J317" s="221"/>
    </row>
    <row r="318" spans="1:10">
      <c r="A318" s="221"/>
      <c r="B318" s="221" t="s">
        <v>297</v>
      </c>
      <c r="C318" s="45"/>
      <c r="D318" s="45"/>
      <c r="E318" s="45">
        <f>E317*0.05</f>
        <v>0.78</v>
      </c>
      <c r="F318" s="221"/>
      <c r="G318" s="45"/>
      <c r="H318" s="221"/>
      <c r="I318" s="221"/>
      <c r="J318" s="221"/>
    </row>
    <row r="319" spans="1:10">
      <c r="A319" s="221"/>
      <c r="B319" s="221"/>
      <c r="C319" s="45"/>
      <c r="D319" s="45"/>
      <c r="E319" s="45">
        <f>SUM(E317:E318)</f>
        <v>16.38</v>
      </c>
      <c r="F319" s="221" t="s">
        <v>287</v>
      </c>
      <c r="G319" s="45">
        <f>E319*4.5</f>
        <v>73.709999999999994</v>
      </c>
      <c r="H319" s="221" t="s">
        <v>184</v>
      </c>
      <c r="I319" s="221"/>
      <c r="J319" s="221"/>
    </row>
    <row r="320" spans="1:10">
      <c r="A320" s="661"/>
      <c r="B320" s="221" t="s">
        <v>666</v>
      </c>
      <c r="C320" s="45"/>
      <c r="D320" s="45"/>
      <c r="E320" s="45"/>
      <c r="F320" s="221"/>
      <c r="G320" s="221"/>
      <c r="H320" s="221"/>
      <c r="I320" s="221"/>
      <c r="J320" s="221"/>
    </row>
    <row r="321" spans="1:10">
      <c r="A321" s="221"/>
      <c r="B321" s="221" t="s">
        <v>289</v>
      </c>
      <c r="C321" s="45" t="s">
        <v>288</v>
      </c>
      <c r="D321" s="45">
        <v>1</v>
      </c>
      <c r="E321" s="45">
        <f>4*2*7*1</f>
        <v>56</v>
      </c>
      <c r="F321" s="221"/>
      <c r="G321" s="221"/>
      <c r="H321" s="221"/>
      <c r="I321" s="221"/>
      <c r="J321" s="221"/>
    </row>
    <row r="322" spans="1:10">
      <c r="A322" s="221"/>
      <c r="B322" s="221" t="s">
        <v>290</v>
      </c>
      <c r="C322" s="45" t="s">
        <v>291</v>
      </c>
      <c r="D322" s="45">
        <v>1</v>
      </c>
      <c r="E322" s="45">
        <f>2*7*1</f>
        <v>14</v>
      </c>
      <c r="F322" s="221"/>
      <c r="G322" s="221"/>
      <c r="H322" s="221"/>
      <c r="I322" s="221"/>
      <c r="J322" s="221"/>
    </row>
    <row r="323" spans="1:10">
      <c r="A323" s="221"/>
      <c r="B323" s="221"/>
      <c r="C323" s="221"/>
      <c r="D323" s="221"/>
      <c r="E323" s="45">
        <f>SUM(E321:E322)</f>
        <v>70</v>
      </c>
      <c r="G323" s="221"/>
      <c r="I323" s="221"/>
      <c r="J323" s="221"/>
    </row>
    <row r="324" spans="1:10">
      <c r="A324" s="221"/>
      <c r="B324" s="221" t="s">
        <v>297</v>
      </c>
      <c r="C324" s="221"/>
      <c r="D324" s="221"/>
      <c r="E324" s="45">
        <f>E323*0.05</f>
        <v>3.5</v>
      </c>
      <c r="F324" s="221"/>
      <c r="G324" s="45"/>
      <c r="H324" s="221"/>
      <c r="I324" s="221"/>
      <c r="J324" s="221"/>
    </row>
    <row r="325" spans="1:10">
      <c r="A325" s="221"/>
      <c r="B325" s="221"/>
      <c r="C325" s="221"/>
      <c r="D325" s="221"/>
      <c r="E325" s="45">
        <f>SUM(E323:E324)</f>
        <v>73.5</v>
      </c>
      <c r="F325" s="221" t="s">
        <v>292</v>
      </c>
      <c r="G325" s="45">
        <f>E325*0.78</f>
        <v>57.330000000000005</v>
      </c>
      <c r="H325" s="221" t="s">
        <v>184</v>
      </c>
      <c r="I325" s="221"/>
      <c r="J325" s="221"/>
    </row>
    <row r="326" spans="1:10">
      <c r="A326" s="221"/>
      <c r="B326" s="221"/>
      <c r="C326" s="221"/>
      <c r="D326" s="221"/>
      <c r="E326" s="45"/>
      <c r="F326" s="221"/>
      <c r="G326" s="45"/>
      <c r="H326" s="221"/>
      <c r="I326" s="221"/>
      <c r="J326" s="221"/>
    </row>
    <row r="327" spans="1:10">
      <c r="A327" s="661"/>
      <c r="B327" s="221" t="s">
        <v>667</v>
      </c>
      <c r="C327" s="221"/>
      <c r="D327" s="221"/>
      <c r="E327" s="221"/>
      <c r="F327" s="616">
        <f>G319</f>
        <v>73.709999999999994</v>
      </c>
      <c r="G327" s="45" t="s">
        <v>184</v>
      </c>
      <c r="H327" s="616">
        <v>48000</v>
      </c>
      <c r="I327" s="221" t="s">
        <v>22</v>
      </c>
      <c r="J327" s="616">
        <f>(H327*F327)/1000</f>
        <v>3538.0799999999995</v>
      </c>
    </row>
    <row r="328" spans="1:10">
      <c r="A328" s="661"/>
      <c r="B328" s="221" t="s">
        <v>293</v>
      </c>
      <c r="C328" s="221"/>
      <c r="D328" s="221"/>
      <c r="E328" s="221"/>
      <c r="F328" s="616">
        <f>G325</f>
        <v>57.330000000000005</v>
      </c>
      <c r="G328" s="45" t="s">
        <v>184</v>
      </c>
      <c r="H328" s="616">
        <v>42000</v>
      </c>
      <c r="I328" s="221" t="s">
        <v>22</v>
      </c>
      <c r="J328" s="616">
        <f>(H328*F328)/1000</f>
        <v>2407.86</v>
      </c>
    </row>
    <row r="329" spans="1:10">
      <c r="A329" s="661"/>
      <c r="B329" s="221" t="s">
        <v>668</v>
      </c>
      <c r="C329" s="221"/>
      <c r="D329" s="221"/>
      <c r="E329" s="221"/>
      <c r="F329" s="616">
        <f>SUM(F327:F328)</f>
        <v>131.04</v>
      </c>
      <c r="G329" s="45" t="s">
        <v>184</v>
      </c>
      <c r="H329" s="616">
        <v>19.8</v>
      </c>
      <c r="I329" s="221" t="s">
        <v>134</v>
      </c>
      <c r="J329" s="616">
        <f>H329*F329</f>
        <v>2594.5920000000001</v>
      </c>
    </row>
    <row r="330" spans="1:10">
      <c r="A330" s="661"/>
      <c r="B330" s="221" t="s">
        <v>669</v>
      </c>
      <c r="C330" s="221"/>
      <c r="D330" s="221"/>
      <c r="E330" s="221"/>
      <c r="F330" s="376">
        <v>7.5</v>
      </c>
      <c r="G330" s="298" t="s">
        <v>56</v>
      </c>
      <c r="H330" s="376">
        <v>100</v>
      </c>
      <c r="I330" s="298" t="s">
        <v>82</v>
      </c>
      <c r="J330" s="376">
        <f>H330*F330</f>
        <v>750</v>
      </c>
    </row>
    <row r="331" spans="1:10">
      <c r="A331" s="661"/>
      <c r="B331" s="221" t="s">
        <v>294</v>
      </c>
      <c r="C331" s="221"/>
      <c r="D331" s="221"/>
      <c r="E331" s="221"/>
      <c r="F331" s="377"/>
      <c r="G331" s="300"/>
      <c r="H331" s="377"/>
      <c r="I331" s="300"/>
      <c r="J331" s="377"/>
    </row>
    <row r="332" spans="1:10">
      <c r="A332" s="661"/>
      <c r="B332" s="221" t="s">
        <v>670</v>
      </c>
      <c r="C332" s="221"/>
      <c r="D332" s="221"/>
      <c r="E332" s="221"/>
      <c r="F332" s="616"/>
      <c r="G332" s="45"/>
      <c r="H332" s="616"/>
      <c r="I332" s="221"/>
      <c r="J332" s="616">
        <v>1500</v>
      </c>
    </row>
    <row r="333" spans="1:10">
      <c r="A333" s="661"/>
      <c r="B333" s="221" t="s">
        <v>671</v>
      </c>
      <c r="C333" s="221"/>
      <c r="D333" s="221"/>
      <c r="E333" s="221"/>
      <c r="F333" s="616">
        <v>1</v>
      </c>
      <c r="G333" s="221" t="s">
        <v>224</v>
      </c>
      <c r="H333" s="616">
        <v>1500</v>
      </c>
      <c r="I333" s="221" t="s">
        <v>25</v>
      </c>
      <c r="J333" s="616">
        <f>H333*F333</f>
        <v>1500</v>
      </c>
    </row>
    <row r="334" spans="1:10">
      <c r="A334" s="661"/>
      <c r="B334" s="221"/>
      <c r="C334" s="221"/>
      <c r="D334" s="221"/>
      <c r="E334" s="221"/>
      <c r="F334" s="221"/>
      <c r="G334" s="221"/>
      <c r="H334" s="221"/>
      <c r="I334" s="221"/>
      <c r="J334" s="616">
        <f>SUM(J327:J333)</f>
        <v>12290.531999999999</v>
      </c>
    </row>
    <row r="335" spans="1:10">
      <c r="A335" s="661"/>
      <c r="B335" s="221" t="s">
        <v>185</v>
      </c>
      <c r="C335" s="221"/>
      <c r="D335" s="221"/>
      <c r="E335" s="221"/>
      <c r="F335" s="221"/>
      <c r="G335" s="221"/>
      <c r="H335" s="221"/>
      <c r="I335" s="221"/>
      <c r="J335" s="616">
        <f>J334*0.13615</f>
        <v>1673.3559317999998</v>
      </c>
    </row>
    <row r="336" spans="1:10">
      <c r="A336" s="221"/>
      <c r="B336" s="221"/>
      <c r="C336" s="221"/>
      <c r="D336" s="221"/>
      <c r="E336" s="221"/>
      <c r="F336" s="221"/>
      <c r="G336" s="221"/>
      <c r="H336" s="221"/>
      <c r="I336" s="221"/>
      <c r="J336" s="592">
        <f>SUM(J334:J335)</f>
        <v>13963.8879318</v>
      </c>
    </row>
    <row r="337" spans="1:10">
      <c r="A337" s="221"/>
      <c r="B337" s="221" t="s">
        <v>632</v>
      </c>
      <c r="C337" s="221"/>
      <c r="D337" s="221"/>
      <c r="E337" s="221"/>
      <c r="F337" s="221"/>
      <c r="G337" s="221"/>
      <c r="H337" s="221"/>
      <c r="I337" s="221"/>
      <c r="J337" s="616">
        <f>J336*0.1601</f>
        <v>2235.6184578811799</v>
      </c>
    </row>
    <row r="338" spans="1:10">
      <c r="A338" s="221"/>
      <c r="B338" s="221"/>
      <c r="C338" s="221"/>
      <c r="D338" s="221"/>
      <c r="E338" s="221"/>
      <c r="F338" s="221"/>
      <c r="G338" s="221"/>
      <c r="H338" s="221"/>
      <c r="I338" s="221"/>
      <c r="J338" s="594">
        <f>J336-J337</f>
        <v>11728.269473918819</v>
      </c>
    </row>
    <row r="339" spans="1:10" ht="86.25" customHeight="1">
      <c r="A339" s="45">
        <v>19</v>
      </c>
      <c r="B339" s="304" t="s">
        <v>813</v>
      </c>
      <c r="C339" s="305"/>
      <c r="D339" s="305"/>
      <c r="E339" s="305"/>
      <c r="F339" s="305"/>
      <c r="G339" s="305"/>
      <c r="H339" s="305"/>
      <c r="I339" s="305"/>
      <c r="J339" s="306"/>
    </row>
    <row r="340" spans="1:10" ht="15.75">
      <c r="A340" s="221"/>
      <c r="B340" s="221" t="s">
        <v>728</v>
      </c>
      <c r="C340" s="221">
        <v>0.1</v>
      </c>
      <c r="D340" s="221" t="s">
        <v>28</v>
      </c>
      <c r="E340" s="221">
        <v>470</v>
      </c>
      <c r="F340" s="221" t="s">
        <v>715</v>
      </c>
      <c r="G340" s="55">
        <f>E340*C340</f>
        <v>47</v>
      </c>
      <c r="H340" s="621"/>
      <c r="I340" s="221"/>
      <c r="J340" s="221"/>
    </row>
    <row r="341" spans="1:10" ht="15.75">
      <c r="A341" s="221"/>
      <c r="B341" s="221" t="s">
        <v>716</v>
      </c>
      <c r="C341" s="221">
        <v>1.39</v>
      </c>
      <c r="D341" s="221" t="s">
        <v>28</v>
      </c>
      <c r="E341" s="221">
        <v>425</v>
      </c>
      <c r="F341" s="221" t="s">
        <v>715</v>
      </c>
      <c r="G341" s="55">
        <f t="shared" ref="G341:G352" si="3">E341*C341</f>
        <v>590.75</v>
      </c>
      <c r="H341" s="621"/>
      <c r="I341" s="221"/>
      <c r="J341" s="221"/>
    </row>
    <row r="342" spans="1:10" ht="15.75">
      <c r="A342" s="221"/>
      <c r="B342" s="221" t="s">
        <v>729</v>
      </c>
      <c r="C342" s="221">
        <v>0</v>
      </c>
      <c r="D342" s="221"/>
      <c r="E342" s="221">
        <v>448.54999999999995</v>
      </c>
      <c r="F342" s="221"/>
      <c r="G342" s="55">
        <f t="shared" si="3"/>
        <v>0</v>
      </c>
      <c r="H342" s="621"/>
      <c r="I342" s="221"/>
      <c r="J342" s="221"/>
    </row>
    <row r="343" spans="1:10" ht="15.75">
      <c r="A343" s="221"/>
      <c r="B343" s="221" t="s">
        <v>730</v>
      </c>
      <c r="C343" s="221"/>
      <c r="D343" s="221"/>
      <c r="E343" s="221"/>
      <c r="F343" s="221"/>
      <c r="G343" s="55">
        <f t="shared" si="3"/>
        <v>0</v>
      </c>
      <c r="H343" s="621"/>
      <c r="I343" s="221"/>
      <c r="J343" s="221"/>
    </row>
    <row r="344" spans="1:10" ht="15.75">
      <c r="A344" s="221"/>
      <c r="B344" s="221" t="s">
        <v>717</v>
      </c>
      <c r="C344" s="221"/>
      <c r="D344" s="221"/>
      <c r="E344" s="221"/>
      <c r="F344" s="221"/>
      <c r="G344" s="55">
        <f t="shared" si="3"/>
        <v>0</v>
      </c>
      <c r="H344" s="621"/>
      <c r="I344" s="221"/>
      <c r="J344" s="221"/>
    </row>
    <row r="345" spans="1:10" ht="15.75">
      <c r="A345" s="221"/>
      <c r="B345" s="221" t="s">
        <v>731</v>
      </c>
      <c r="C345" s="221">
        <v>0.4</v>
      </c>
      <c r="D345" s="221" t="s">
        <v>732</v>
      </c>
      <c r="E345" s="221">
        <v>608.1</v>
      </c>
      <c r="F345" s="221" t="s">
        <v>732</v>
      </c>
      <c r="G345" s="55">
        <f t="shared" si="3"/>
        <v>243.24</v>
      </c>
      <c r="H345" s="621"/>
      <c r="I345" s="221"/>
      <c r="J345" s="221"/>
    </row>
    <row r="346" spans="1:10" ht="15.75">
      <c r="A346" s="221"/>
      <c r="B346" s="221" t="s">
        <v>733</v>
      </c>
      <c r="C346" s="221"/>
      <c r="D346" s="221"/>
      <c r="E346" s="221"/>
      <c r="F346" s="221"/>
      <c r="G346" s="55">
        <f t="shared" si="3"/>
        <v>0</v>
      </c>
      <c r="H346" s="621"/>
      <c r="I346" s="221"/>
      <c r="J346" s="221"/>
    </row>
    <row r="347" spans="1:10" ht="15.75">
      <c r="A347" s="221"/>
      <c r="B347" s="221" t="s">
        <v>160</v>
      </c>
      <c r="C347" s="221"/>
      <c r="D347" s="221"/>
      <c r="E347" s="221"/>
      <c r="F347" s="221"/>
      <c r="G347" s="55">
        <f t="shared" si="3"/>
        <v>0</v>
      </c>
      <c r="H347" s="621"/>
      <c r="I347" s="221"/>
      <c r="J347" s="221"/>
    </row>
    <row r="348" spans="1:10" ht="30">
      <c r="A348" s="221"/>
      <c r="B348" s="235" t="s">
        <v>734</v>
      </c>
      <c r="C348" s="221"/>
      <c r="D348" s="221"/>
      <c r="E348" s="221"/>
      <c r="F348" s="221"/>
      <c r="G348" s="55">
        <f t="shared" si="3"/>
        <v>0</v>
      </c>
      <c r="H348" s="621"/>
      <c r="I348" s="221"/>
      <c r="J348" s="221"/>
    </row>
    <row r="349" spans="1:10" ht="15.75">
      <c r="A349" s="221"/>
      <c r="B349" s="221" t="s">
        <v>735</v>
      </c>
      <c r="C349" s="221">
        <v>0.54</v>
      </c>
      <c r="D349" s="221" t="s">
        <v>16</v>
      </c>
      <c r="E349" s="616">
        <v>1542.2</v>
      </c>
      <c r="F349" s="221" t="s">
        <v>16</v>
      </c>
      <c r="G349" s="55">
        <f t="shared" si="3"/>
        <v>832.78800000000012</v>
      </c>
      <c r="H349" s="621"/>
      <c r="I349" s="221"/>
      <c r="J349" s="221"/>
    </row>
    <row r="350" spans="1:10" ht="15.75">
      <c r="A350" s="221"/>
      <c r="B350" s="221" t="s">
        <v>736</v>
      </c>
      <c r="C350" s="221">
        <v>0.36</v>
      </c>
      <c r="D350" s="221" t="s">
        <v>16</v>
      </c>
      <c r="E350" s="221">
        <v>1275.95</v>
      </c>
      <c r="F350" s="221"/>
      <c r="G350" s="55">
        <f t="shared" si="3"/>
        <v>459.34199999999998</v>
      </c>
      <c r="H350" s="621"/>
      <c r="I350" s="221"/>
      <c r="J350" s="221"/>
    </row>
    <row r="351" spans="1:10" ht="15.75">
      <c r="A351" s="221"/>
      <c r="B351" s="221" t="s">
        <v>722</v>
      </c>
      <c r="C351" s="221">
        <v>0.45</v>
      </c>
      <c r="D351" s="221" t="s">
        <v>16</v>
      </c>
      <c r="E351" s="221">
        <v>2227.2600000000002</v>
      </c>
      <c r="F351" s="221" t="s">
        <v>16</v>
      </c>
      <c r="G351" s="55">
        <f t="shared" si="3"/>
        <v>1002.2670000000002</v>
      </c>
      <c r="H351" s="621"/>
      <c r="I351" s="221"/>
      <c r="J351" s="221"/>
    </row>
    <row r="352" spans="1:10" ht="15.75">
      <c r="A352" s="221"/>
      <c r="B352" s="221" t="s">
        <v>720</v>
      </c>
      <c r="C352" s="221">
        <v>0.33</v>
      </c>
      <c r="D352" s="221" t="s">
        <v>21</v>
      </c>
      <c r="E352" s="221">
        <v>4300</v>
      </c>
      <c r="F352" s="221" t="s">
        <v>21</v>
      </c>
      <c r="G352" s="55">
        <f t="shared" si="3"/>
        <v>1419</v>
      </c>
      <c r="H352" s="621"/>
      <c r="I352" s="221"/>
      <c r="J352" s="221"/>
    </row>
    <row r="353" spans="1:10" ht="15.75">
      <c r="A353" s="221"/>
      <c r="B353" s="221" t="s">
        <v>737</v>
      </c>
      <c r="C353" s="221"/>
      <c r="D353" s="221"/>
      <c r="E353" s="221"/>
      <c r="F353" s="221"/>
      <c r="G353" s="55">
        <f>SUM(G340:G352)</f>
        <v>4594.3870000000006</v>
      </c>
      <c r="H353" s="621"/>
      <c r="I353" s="221"/>
      <c r="J353" s="221"/>
    </row>
    <row r="354" spans="1:10" ht="15.75">
      <c r="A354" s="221"/>
      <c r="B354" s="221" t="s">
        <v>738</v>
      </c>
      <c r="C354" s="221"/>
      <c r="D354" s="221"/>
      <c r="E354" s="221"/>
      <c r="F354" s="221"/>
      <c r="G354" s="55">
        <f>G353</f>
        <v>4594.3870000000006</v>
      </c>
      <c r="H354" s="621"/>
      <c r="I354" s="221"/>
      <c r="J354" s="221"/>
    </row>
    <row r="355" spans="1:10" ht="15.75">
      <c r="A355" s="221"/>
      <c r="B355" s="221" t="s">
        <v>739</v>
      </c>
      <c r="C355" s="221">
        <v>0.14000000000000001</v>
      </c>
      <c r="D355" s="221" t="s">
        <v>276</v>
      </c>
      <c r="E355" s="221">
        <v>5124.8050000000003</v>
      </c>
      <c r="F355" s="221"/>
      <c r="G355" s="55">
        <f>G354*0.13615</f>
        <v>625.52579005000007</v>
      </c>
      <c r="H355" s="621"/>
      <c r="I355" s="221"/>
      <c r="J355" s="221"/>
    </row>
    <row r="356" spans="1:10" ht="15.75">
      <c r="A356" s="221"/>
      <c r="B356" s="221" t="s">
        <v>740</v>
      </c>
      <c r="C356" s="221">
        <v>1.7500000000000002E-2</v>
      </c>
      <c r="D356" s="221" t="s">
        <v>276</v>
      </c>
      <c r="E356" s="221">
        <v>5842.2777000000006</v>
      </c>
      <c r="F356" s="221"/>
      <c r="G356" s="55">
        <f>G354*0.0175</f>
        <v>80.401772500000021</v>
      </c>
      <c r="H356" s="621"/>
      <c r="I356" s="221"/>
      <c r="J356" s="221"/>
    </row>
    <row r="357" spans="1:10" ht="15.75">
      <c r="A357" s="221"/>
      <c r="B357" s="221"/>
      <c r="C357" s="221"/>
      <c r="D357" s="221"/>
      <c r="E357" s="221"/>
      <c r="F357" s="221"/>
      <c r="G357" s="55">
        <f>SUM(G354:G356)</f>
        <v>5300.314562550001</v>
      </c>
      <c r="H357" s="621"/>
      <c r="I357" s="221"/>
      <c r="J357" s="221"/>
    </row>
    <row r="358" spans="1:10" ht="15.75">
      <c r="A358" s="221"/>
      <c r="B358" s="221" t="s">
        <v>742</v>
      </c>
      <c r="C358" s="221"/>
      <c r="D358" s="221"/>
      <c r="E358" s="221"/>
      <c r="F358" s="221"/>
      <c r="G358" s="55">
        <f>G357</f>
        <v>5300.314562550001</v>
      </c>
      <c r="H358" s="621"/>
      <c r="I358" s="221"/>
      <c r="J358" s="221"/>
    </row>
    <row r="359" spans="1:10" ht="15.75">
      <c r="A359" s="221"/>
      <c r="B359" s="221" t="s">
        <v>711</v>
      </c>
      <c r="C359" s="221"/>
      <c r="D359" s="221"/>
      <c r="E359" s="221"/>
      <c r="F359" s="221"/>
      <c r="G359" s="55">
        <f>G358*0.1601</f>
        <v>848.58036146425513</v>
      </c>
      <c r="H359" s="621"/>
      <c r="I359" s="221"/>
      <c r="J359" s="221"/>
    </row>
    <row r="360" spans="1:10" ht="15.75">
      <c r="A360" s="221"/>
      <c r="B360" s="221"/>
      <c r="C360" s="221"/>
      <c r="D360" s="221"/>
      <c r="E360" s="221"/>
      <c r="F360" s="221"/>
      <c r="G360" s="593">
        <f>G358-G359</f>
        <v>4451.7342010857456</v>
      </c>
      <c r="H360" s="621" t="s">
        <v>49</v>
      </c>
      <c r="I360" s="221"/>
      <c r="J360" s="221"/>
    </row>
    <row r="361" spans="1:10" ht="33.75" customHeight="1">
      <c r="A361" s="45">
        <v>20</v>
      </c>
      <c r="B361" s="383" t="s">
        <v>626</v>
      </c>
      <c r="C361" s="384"/>
      <c r="D361" s="384"/>
      <c r="E361" s="384"/>
      <c r="F361" s="384"/>
      <c r="G361" s="384"/>
      <c r="H361" s="384"/>
      <c r="I361" s="384"/>
      <c r="J361" s="385"/>
    </row>
    <row r="362" spans="1:10">
      <c r="A362" s="45" t="s">
        <v>208</v>
      </c>
      <c r="B362" s="591" t="s">
        <v>654</v>
      </c>
      <c r="C362" s="221"/>
      <c r="D362" s="221"/>
      <c r="E362" s="221"/>
      <c r="F362" s="221"/>
      <c r="G362" s="221"/>
      <c r="H362" s="221"/>
      <c r="I362" s="221"/>
      <c r="J362" s="221"/>
    </row>
    <row r="363" spans="1:10">
      <c r="A363" s="45"/>
      <c r="B363" s="221" t="s">
        <v>919</v>
      </c>
      <c r="C363" s="221"/>
      <c r="D363" s="221"/>
      <c r="E363" s="221"/>
      <c r="F363" s="221"/>
      <c r="G363" s="221"/>
      <c r="H363" s="221"/>
      <c r="I363" s="221"/>
      <c r="J363" s="221"/>
    </row>
    <row r="364" spans="1:10">
      <c r="A364" s="221"/>
      <c r="B364" s="221" t="s">
        <v>627</v>
      </c>
      <c r="C364" s="46">
        <v>1</v>
      </c>
      <c r="D364" s="46" t="s">
        <v>2</v>
      </c>
      <c r="E364" s="46">
        <v>831</v>
      </c>
      <c r="F364" s="46" t="s">
        <v>23</v>
      </c>
      <c r="G364" s="46">
        <f>ROUND((C364*E364),2)</f>
        <v>831</v>
      </c>
      <c r="H364" s="370" t="s">
        <v>920</v>
      </c>
      <c r="I364" s="371"/>
      <c r="J364" s="372"/>
    </row>
    <row r="365" spans="1:10">
      <c r="A365" s="221"/>
      <c r="B365" s="221"/>
      <c r="C365" s="46"/>
      <c r="D365" s="46"/>
      <c r="E365" s="46"/>
      <c r="F365" s="46"/>
      <c r="G365" s="46">
        <f>SUM(G364:G364)</f>
        <v>831</v>
      </c>
      <c r="H365" s="221"/>
      <c r="I365" s="221"/>
      <c r="J365" s="221"/>
    </row>
    <row r="366" spans="1:10">
      <c r="A366" s="221"/>
      <c r="B366" s="221" t="s">
        <v>628</v>
      </c>
      <c r="C366" s="46"/>
      <c r="D366" s="46"/>
      <c r="E366" s="46"/>
      <c r="F366" s="46"/>
      <c r="G366" s="46">
        <f>G365*0.13615</f>
        <v>113.14064999999999</v>
      </c>
      <c r="H366" s="221"/>
      <c r="I366" s="221"/>
      <c r="J366" s="221"/>
    </row>
    <row r="367" spans="1:10">
      <c r="A367" s="221"/>
      <c r="B367" s="221"/>
      <c r="C367" s="46"/>
      <c r="D367" s="46"/>
      <c r="E367" s="46"/>
      <c r="F367" s="46"/>
      <c r="G367" s="46">
        <f>SUM(G365:G366)</f>
        <v>944.14065000000005</v>
      </c>
      <c r="H367" s="221"/>
      <c r="I367" s="221"/>
      <c r="J367" s="221"/>
    </row>
    <row r="368" spans="1:10">
      <c r="A368" s="221"/>
      <c r="B368" s="221" t="s">
        <v>411</v>
      </c>
      <c r="C368" s="221"/>
      <c r="D368" s="221"/>
      <c r="E368" s="221"/>
      <c r="F368" s="221"/>
      <c r="G368" s="46">
        <f>G367*0.1601</f>
        <v>151.15691806500001</v>
      </c>
      <c r="H368" s="592"/>
      <c r="I368" s="221"/>
      <c r="J368" s="221"/>
    </row>
    <row r="369" spans="1:10" ht="15.75">
      <c r="A369" s="221"/>
      <c r="B369" s="221"/>
      <c r="C369" s="221"/>
      <c r="D369" s="221"/>
      <c r="E369" s="221"/>
      <c r="F369" s="221"/>
      <c r="G369" s="593">
        <f>G367-G368</f>
        <v>792.98373193500004</v>
      </c>
      <c r="H369" s="621" t="s">
        <v>23</v>
      </c>
      <c r="I369" s="221"/>
      <c r="J369" s="221"/>
    </row>
    <row r="370" spans="1:10">
      <c r="A370" s="45" t="s">
        <v>210</v>
      </c>
      <c r="B370" s="591" t="s">
        <v>829</v>
      </c>
      <c r="C370" s="221"/>
      <c r="D370" s="221"/>
      <c r="E370" s="221"/>
      <c r="F370" s="221"/>
      <c r="G370" s="221"/>
      <c r="H370" s="221"/>
      <c r="I370" s="601"/>
      <c r="J370" s="604"/>
    </row>
    <row r="371" spans="1:10">
      <c r="A371" s="221"/>
      <c r="B371" s="221" t="s">
        <v>922</v>
      </c>
      <c r="C371" s="221"/>
      <c r="D371" s="221"/>
      <c r="E371" s="221"/>
      <c r="F371" s="221"/>
      <c r="G371" s="221"/>
      <c r="H371" s="221"/>
      <c r="I371" s="601"/>
      <c r="J371" s="604"/>
    </row>
    <row r="372" spans="1:10">
      <c r="A372" s="221"/>
      <c r="B372" s="221" t="s">
        <v>627</v>
      </c>
      <c r="C372" s="46">
        <v>1</v>
      </c>
      <c r="D372" s="46" t="s">
        <v>2</v>
      </c>
      <c r="E372" s="46">
        <v>4265</v>
      </c>
      <c r="F372" s="46" t="s">
        <v>23</v>
      </c>
      <c r="G372" s="46">
        <f>ROUND((C372*E372),2)</f>
        <v>4265</v>
      </c>
      <c r="H372" s="370" t="s">
        <v>921</v>
      </c>
      <c r="I372" s="371"/>
      <c r="J372" s="372"/>
    </row>
    <row r="373" spans="1:10">
      <c r="A373" s="221"/>
      <c r="B373" s="221"/>
      <c r="C373" s="46"/>
      <c r="D373" s="46"/>
      <c r="E373" s="46"/>
      <c r="F373" s="46"/>
      <c r="G373" s="46">
        <f>SUM(G372:G372)</f>
        <v>4265</v>
      </c>
      <c r="H373" s="221"/>
      <c r="I373" s="601"/>
      <c r="J373" s="604"/>
    </row>
    <row r="374" spans="1:10">
      <c r="A374" s="221"/>
      <c r="B374" s="221" t="s">
        <v>628</v>
      </c>
      <c r="C374" s="46"/>
      <c r="D374" s="46"/>
      <c r="E374" s="46"/>
      <c r="F374" s="46"/>
      <c r="G374" s="46">
        <f>G373*0.13615</f>
        <v>580.67975000000001</v>
      </c>
      <c r="H374" s="221"/>
      <c r="I374" s="601"/>
      <c r="J374" s="604"/>
    </row>
    <row r="375" spans="1:10">
      <c r="A375" s="221"/>
      <c r="B375" s="221"/>
      <c r="C375" s="46"/>
      <c r="D375" s="46"/>
      <c r="E375" s="46"/>
      <c r="F375" s="46"/>
      <c r="G375" s="46">
        <f>SUM(G373:G374)</f>
        <v>4845.6797500000002</v>
      </c>
      <c r="H375" s="221"/>
      <c r="I375" s="601"/>
      <c r="J375" s="604"/>
    </row>
    <row r="376" spans="1:10">
      <c r="A376" s="221"/>
      <c r="B376" s="221" t="s">
        <v>411</v>
      </c>
      <c r="C376" s="221"/>
      <c r="D376" s="221"/>
      <c r="E376" s="221"/>
      <c r="F376" s="221"/>
      <c r="G376" s="46">
        <f>G375*0.1601</f>
        <v>775.79332797500001</v>
      </c>
      <c r="H376" s="592"/>
      <c r="I376" s="601"/>
      <c r="J376" s="604"/>
    </row>
    <row r="377" spans="1:10" ht="15.75">
      <c r="A377" s="221"/>
      <c r="B377" s="221"/>
      <c r="C377" s="221"/>
      <c r="D377" s="221"/>
      <c r="E377" s="221"/>
      <c r="F377" s="221"/>
      <c r="G377" s="593">
        <f>G375-G376</f>
        <v>4069.8864220250002</v>
      </c>
      <c r="H377" s="621" t="s">
        <v>23</v>
      </c>
      <c r="I377" s="601"/>
      <c r="J377" s="604"/>
    </row>
  </sheetData>
  <mergeCells count="54">
    <mergeCell ref="H364:J364"/>
    <mergeCell ref="H372:J372"/>
    <mergeCell ref="B339:J339"/>
    <mergeCell ref="B361:J361"/>
    <mergeCell ref="B312:J312"/>
    <mergeCell ref="H244:J244"/>
    <mergeCell ref="H252:J252"/>
    <mergeCell ref="G285:J285"/>
    <mergeCell ref="B302:J302"/>
    <mergeCell ref="H304:J304"/>
    <mergeCell ref="B288:J288"/>
    <mergeCell ref="H136:J136"/>
    <mergeCell ref="H143:J143"/>
    <mergeCell ref="H152:J152"/>
    <mergeCell ref="H161:J161"/>
    <mergeCell ref="H211:J211"/>
    <mergeCell ref="B199:J199"/>
    <mergeCell ref="A1:J1"/>
    <mergeCell ref="B3:J3"/>
    <mergeCell ref="B4:J4"/>
    <mergeCell ref="B113:J113"/>
    <mergeCell ref="B242:J242"/>
    <mergeCell ref="B150:J150"/>
    <mergeCell ref="B29:J29"/>
    <mergeCell ref="B52:J52"/>
    <mergeCell ref="B160:J160"/>
    <mergeCell ref="A2:J2"/>
    <mergeCell ref="H6:J6"/>
    <mergeCell ref="H14:J14"/>
    <mergeCell ref="B161:G161"/>
    <mergeCell ref="B162:D162"/>
    <mergeCell ref="B185:J185"/>
    <mergeCell ref="H219:J219"/>
    <mergeCell ref="B280:J280"/>
    <mergeCell ref="B284:J284"/>
    <mergeCell ref="B192:J192"/>
    <mergeCell ref="F330:F331"/>
    <mergeCell ref="G330:G331"/>
    <mergeCell ref="H330:H331"/>
    <mergeCell ref="I330:I331"/>
    <mergeCell ref="J330:J331"/>
    <mergeCell ref="B210:J210"/>
    <mergeCell ref="B227:J227"/>
    <mergeCell ref="H268:J268"/>
    <mergeCell ref="H270:J270"/>
    <mergeCell ref="H273:J273"/>
    <mergeCell ref="H274:J274"/>
    <mergeCell ref="B267:J267"/>
    <mergeCell ref="H260:J260"/>
    <mergeCell ref="H114:J114"/>
    <mergeCell ref="H122:J122"/>
    <mergeCell ref="H129:J129"/>
    <mergeCell ref="H22:J22"/>
    <mergeCell ref="H54:J54"/>
  </mergeCells>
  <pageMargins left="0.43307086614173229" right="0.35433070866141736" top="0.85" bottom="0.74803149606299213" header="0.46" footer="0.48"/>
  <pageSetup paperSize="5" scale="73" orientation="portrait" r:id="rId1"/>
  <headerFooter>
    <oddHeader>&amp;CDATA P.NO &amp;P</oddHeader>
  </headerFooter>
</worksheet>
</file>

<file path=xl/worksheets/sheet9.xml><?xml version="1.0" encoding="utf-8"?>
<worksheet xmlns="http://schemas.openxmlformats.org/spreadsheetml/2006/main" xmlns:r="http://schemas.openxmlformats.org/officeDocument/2006/relationships">
  <dimension ref="A1:M459"/>
  <sheetViews>
    <sheetView view="pageBreakPreview" topLeftCell="A443" zoomScale="60" workbookViewId="0">
      <selection activeCell="O442" sqref="O442"/>
    </sheetView>
  </sheetViews>
  <sheetFormatPr defaultRowHeight="15.75"/>
  <cols>
    <col min="1" max="1" width="5.5703125" style="724" customWidth="1"/>
    <col min="2" max="2" width="43.28515625" style="724" customWidth="1"/>
    <col min="3" max="3" width="11.42578125" style="724" bestFit="1" customWidth="1"/>
    <col min="4" max="4" width="9.140625" style="724"/>
    <col min="5" max="5" width="11.85546875" style="724" customWidth="1"/>
    <col min="6" max="6" width="10.28515625" style="724" customWidth="1"/>
    <col min="7" max="7" width="14.140625" style="724" customWidth="1"/>
    <col min="8" max="8" width="14.7109375" style="724" customWidth="1"/>
    <col min="9" max="9" width="9.140625" style="724"/>
    <col min="10" max="10" width="5.7109375" style="724" customWidth="1"/>
    <col min="11" max="16384" width="9.140625" style="724"/>
  </cols>
  <sheetData>
    <row r="1" spans="1:10" ht="28.5" customHeight="1">
      <c r="B1" s="676" t="s">
        <v>687</v>
      </c>
      <c r="C1" s="676"/>
      <c r="D1" s="676"/>
      <c r="E1" s="676"/>
      <c r="F1" s="676"/>
      <c r="G1" s="676"/>
      <c r="H1" s="676"/>
      <c r="I1" s="676"/>
      <c r="J1" s="676"/>
    </row>
    <row r="2" spans="1:10" ht="82.5" customHeight="1">
      <c r="A2" s="677">
        <v>21</v>
      </c>
      <c r="B2" s="678" t="s">
        <v>686</v>
      </c>
      <c r="C2" s="678"/>
      <c r="D2" s="678"/>
      <c r="E2" s="678"/>
      <c r="F2" s="678"/>
      <c r="G2" s="678"/>
      <c r="H2" s="678"/>
      <c r="I2" s="678"/>
      <c r="J2" s="678"/>
    </row>
    <row r="3" spans="1:10">
      <c r="A3" s="677" t="s">
        <v>208</v>
      </c>
      <c r="B3" s="620" t="s">
        <v>697</v>
      </c>
      <c r="C3" s="622"/>
      <c r="D3" s="622"/>
      <c r="E3" s="622"/>
      <c r="F3" s="622"/>
      <c r="G3" s="622"/>
      <c r="H3" s="622"/>
      <c r="I3" s="679"/>
      <c r="J3" s="679"/>
    </row>
    <row r="4" spans="1:10">
      <c r="A4" s="677"/>
      <c r="B4" s="622" t="s">
        <v>698</v>
      </c>
      <c r="C4" s="55"/>
      <c r="D4" s="677"/>
      <c r="E4" s="55"/>
      <c r="F4" s="677"/>
      <c r="G4" s="55"/>
      <c r="H4" s="622"/>
      <c r="I4" s="679"/>
      <c r="J4" s="679"/>
    </row>
    <row r="5" spans="1:10">
      <c r="A5" s="677"/>
      <c r="B5" s="622" t="s">
        <v>712</v>
      </c>
      <c r="C5" s="55"/>
      <c r="D5" s="677"/>
      <c r="E5" s="55"/>
      <c r="F5" s="677"/>
      <c r="G5" s="55"/>
      <c r="H5" s="622"/>
      <c r="I5" s="679"/>
      <c r="J5" s="679"/>
    </row>
    <row r="6" spans="1:10">
      <c r="A6" s="677"/>
      <c r="B6" s="620" t="s">
        <v>699</v>
      </c>
      <c r="C6" s="622"/>
      <c r="D6" s="622"/>
      <c r="E6" s="622"/>
      <c r="F6" s="622"/>
      <c r="G6" s="55"/>
      <c r="H6" s="725"/>
      <c r="I6" s="679"/>
      <c r="J6" s="679"/>
    </row>
    <row r="7" spans="1:10">
      <c r="A7" s="677"/>
      <c r="B7" s="622" t="s">
        <v>700</v>
      </c>
      <c r="C7" s="677">
        <v>8.32</v>
      </c>
      <c r="D7" s="677" t="s">
        <v>136</v>
      </c>
      <c r="E7" s="55">
        <v>425</v>
      </c>
      <c r="F7" s="677" t="s">
        <v>701</v>
      </c>
      <c r="G7" s="55">
        <f>E7*C7</f>
        <v>3536</v>
      </c>
      <c r="H7" s="726"/>
      <c r="I7" s="679"/>
      <c r="J7" s="679"/>
    </row>
    <row r="8" spans="1:10">
      <c r="A8" s="677"/>
      <c r="B8" s="622" t="s">
        <v>702</v>
      </c>
      <c r="C8" s="55">
        <v>0</v>
      </c>
      <c r="D8" s="677"/>
      <c r="E8" s="55">
        <v>3536</v>
      </c>
      <c r="F8" s="622"/>
      <c r="G8" s="55">
        <f>E8*C8</f>
        <v>0</v>
      </c>
      <c r="H8" s="726"/>
      <c r="I8" s="679"/>
      <c r="J8" s="679"/>
    </row>
    <row r="9" spans="1:10">
      <c r="A9" s="677"/>
      <c r="B9" s="622"/>
      <c r="C9" s="622"/>
      <c r="D9" s="622"/>
      <c r="E9" s="622"/>
      <c r="F9" s="622"/>
      <c r="G9" s="55">
        <f>SUM(G7:G8)</f>
        <v>3536</v>
      </c>
      <c r="H9" s="726"/>
      <c r="I9" s="679"/>
      <c r="J9" s="679"/>
    </row>
    <row r="10" spans="1:10">
      <c r="A10" s="677"/>
      <c r="B10" s="622" t="s">
        <v>703</v>
      </c>
      <c r="C10" s="622"/>
      <c r="D10" s="622"/>
      <c r="E10" s="622"/>
      <c r="F10" s="622"/>
      <c r="G10" s="593"/>
      <c r="H10" s="726"/>
      <c r="I10" s="679"/>
      <c r="J10" s="679"/>
    </row>
    <row r="11" spans="1:10">
      <c r="A11" s="677"/>
      <c r="B11" s="622" t="s">
        <v>704</v>
      </c>
      <c r="C11" s="55">
        <v>6</v>
      </c>
      <c r="D11" s="622" t="s">
        <v>705</v>
      </c>
      <c r="E11" s="725">
        <v>2967.9</v>
      </c>
      <c r="F11" s="622" t="s">
        <v>706</v>
      </c>
      <c r="G11" s="55">
        <f>E11*C11</f>
        <v>17807.400000000001</v>
      </c>
      <c r="H11" s="726"/>
      <c r="I11" s="679"/>
      <c r="J11" s="679"/>
    </row>
    <row r="12" spans="1:10">
      <c r="A12" s="677"/>
      <c r="B12" s="622" t="s">
        <v>707</v>
      </c>
      <c r="C12" s="622"/>
      <c r="D12" s="622"/>
      <c r="E12" s="622"/>
      <c r="F12" s="622"/>
      <c r="G12" s="55">
        <f>SUM(G9:G11)</f>
        <v>21343.4</v>
      </c>
      <c r="H12" s="725" t="s">
        <v>708</v>
      </c>
      <c r="I12" s="679"/>
      <c r="J12" s="679"/>
    </row>
    <row r="13" spans="1:10">
      <c r="A13" s="677"/>
      <c r="B13" s="622"/>
      <c r="C13" s="622"/>
      <c r="D13" s="622"/>
      <c r="E13" s="622"/>
      <c r="F13" s="622"/>
      <c r="G13" s="55">
        <f>G12/240</f>
        <v>88.930833333333339</v>
      </c>
      <c r="H13" s="725" t="s">
        <v>709</v>
      </c>
      <c r="I13" s="679"/>
      <c r="J13" s="679"/>
    </row>
    <row r="14" spans="1:10">
      <c r="A14" s="677"/>
      <c r="B14" s="622" t="s">
        <v>710</v>
      </c>
      <c r="C14" s="622">
        <v>0.13614999999999999</v>
      </c>
      <c r="D14" s="622"/>
      <c r="E14" s="725">
        <f>G13</f>
        <v>88.930833333333339</v>
      </c>
      <c r="F14" s="622"/>
      <c r="G14" s="55">
        <f>E14*0.13615</f>
        <v>12.107932958333334</v>
      </c>
      <c r="H14" s="726"/>
      <c r="I14" s="679"/>
      <c r="J14" s="679"/>
    </row>
    <row r="15" spans="1:10">
      <c r="A15" s="677"/>
      <c r="B15" s="622"/>
      <c r="C15" s="622"/>
      <c r="D15" s="622"/>
      <c r="E15" s="622"/>
      <c r="F15" s="622"/>
      <c r="G15" s="55">
        <f>SUM(G13:G14)</f>
        <v>101.03876629166668</v>
      </c>
      <c r="H15" s="725" t="s">
        <v>709</v>
      </c>
      <c r="I15" s="679"/>
      <c r="J15" s="679"/>
    </row>
    <row r="16" spans="1:10">
      <c r="A16" s="677"/>
      <c r="B16" s="622" t="s">
        <v>711</v>
      </c>
      <c r="C16" s="622">
        <v>0.16009999999999999</v>
      </c>
      <c r="D16" s="622"/>
      <c r="E16" s="622"/>
      <c r="F16" s="622"/>
      <c r="G16" s="55">
        <f>G15*0.1601</f>
        <v>16.176306483295836</v>
      </c>
      <c r="H16" s="726"/>
      <c r="I16" s="679"/>
      <c r="J16" s="679"/>
    </row>
    <row r="17" spans="1:10">
      <c r="A17" s="677"/>
      <c r="B17" s="622"/>
      <c r="C17" s="622"/>
      <c r="D17" s="622"/>
      <c r="E17" s="622"/>
      <c r="F17" s="622"/>
      <c r="G17" s="593">
        <f>G15-G16</f>
        <v>84.862459808370843</v>
      </c>
      <c r="H17" s="726" t="s">
        <v>709</v>
      </c>
      <c r="I17" s="679"/>
      <c r="J17" s="679"/>
    </row>
    <row r="18" spans="1:10" ht="16.5" customHeight="1">
      <c r="A18" s="677"/>
      <c r="B18" s="622"/>
      <c r="C18" s="622"/>
      <c r="D18" s="622"/>
      <c r="E18" s="622"/>
      <c r="F18" s="622"/>
      <c r="G18" s="593"/>
      <c r="H18" s="726"/>
      <c r="I18" s="679"/>
      <c r="J18" s="679"/>
    </row>
    <row r="19" spans="1:10" ht="99" customHeight="1">
      <c r="A19" s="677">
        <v>22</v>
      </c>
      <c r="B19" s="727" t="s">
        <v>690</v>
      </c>
      <c r="C19" s="728"/>
      <c r="D19" s="728"/>
      <c r="E19" s="728"/>
      <c r="F19" s="728"/>
      <c r="G19" s="728"/>
      <c r="H19" s="728"/>
      <c r="I19" s="728"/>
      <c r="J19" s="729"/>
    </row>
    <row r="20" spans="1:10">
      <c r="A20" s="677" t="s">
        <v>208</v>
      </c>
      <c r="B20" s="622" t="s">
        <v>691</v>
      </c>
      <c r="C20" s="55">
        <v>1</v>
      </c>
      <c r="D20" s="677" t="s">
        <v>16</v>
      </c>
      <c r="E20" s="55">
        <f>[2]BOQ!$G$103</f>
        <v>652.20000000000005</v>
      </c>
      <c r="F20" s="677" t="s">
        <v>49</v>
      </c>
      <c r="G20" s="55">
        <f>ROUND((C20*E20),2)</f>
        <v>652.20000000000005</v>
      </c>
      <c r="H20" s="622"/>
      <c r="I20" s="679"/>
      <c r="J20" s="679"/>
    </row>
    <row r="21" spans="1:10">
      <c r="A21" s="677"/>
      <c r="B21" s="622" t="s">
        <v>411</v>
      </c>
      <c r="C21" s="622"/>
      <c r="D21" s="622"/>
      <c r="E21" s="622"/>
      <c r="F21" s="622"/>
      <c r="G21" s="55">
        <f>G20*0.1601</f>
        <v>104.41722</v>
      </c>
      <c r="H21" s="725"/>
      <c r="I21" s="679"/>
      <c r="J21" s="679"/>
    </row>
    <row r="22" spans="1:10">
      <c r="A22" s="677"/>
      <c r="B22" s="622"/>
      <c r="C22" s="622"/>
      <c r="D22" s="622"/>
      <c r="E22" s="622"/>
      <c r="F22" s="622"/>
      <c r="G22" s="593">
        <f>G20-G21</f>
        <v>547.78278</v>
      </c>
      <c r="H22" s="726" t="s">
        <v>49</v>
      </c>
      <c r="I22" s="679"/>
      <c r="J22" s="679"/>
    </row>
    <row r="23" spans="1:10" ht="95.25" customHeight="1">
      <c r="A23" s="677">
        <v>23</v>
      </c>
      <c r="B23" s="730" t="s">
        <v>187</v>
      </c>
      <c r="C23" s="730"/>
      <c r="D23" s="730"/>
      <c r="E23" s="730"/>
      <c r="F23" s="730"/>
      <c r="G23" s="730"/>
      <c r="H23" s="730"/>
      <c r="I23" s="730"/>
      <c r="J23" s="730"/>
    </row>
    <row r="24" spans="1:10">
      <c r="A24" s="677" t="s">
        <v>208</v>
      </c>
      <c r="B24" s="620" t="s">
        <v>713</v>
      </c>
      <c r="C24" s="55"/>
      <c r="D24" s="677"/>
      <c r="E24" s="55"/>
      <c r="F24" s="677"/>
      <c r="G24" s="55"/>
      <c r="H24" s="622"/>
      <c r="I24" s="622"/>
      <c r="J24" s="622"/>
    </row>
    <row r="25" spans="1:10">
      <c r="A25" s="677"/>
      <c r="B25" s="622" t="s">
        <v>714</v>
      </c>
      <c r="C25" s="55">
        <v>0.1</v>
      </c>
      <c r="D25" s="677" t="s">
        <v>136</v>
      </c>
      <c r="E25" s="55">
        <v>470</v>
      </c>
      <c r="F25" s="677" t="s">
        <v>715</v>
      </c>
      <c r="G25" s="55">
        <f>E25*C25</f>
        <v>47</v>
      </c>
      <c r="H25" s="622"/>
      <c r="I25" s="622"/>
      <c r="J25" s="622"/>
    </row>
    <row r="26" spans="1:10">
      <c r="A26" s="622"/>
      <c r="B26" s="622" t="s">
        <v>716</v>
      </c>
      <c r="C26" s="622">
        <v>1.39</v>
      </c>
      <c r="D26" s="677" t="s">
        <v>136</v>
      </c>
      <c r="E26" s="622">
        <v>425</v>
      </c>
      <c r="F26" s="677" t="s">
        <v>715</v>
      </c>
      <c r="G26" s="55">
        <f>E26*C26</f>
        <v>590.75</v>
      </c>
      <c r="H26" s="725"/>
      <c r="I26" s="622"/>
      <c r="J26" s="622"/>
    </row>
    <row r="27" spans="1:10">
      <c r="A27" s="622"/>
      <c r="B27" s="622" t="s">
        <v>702</v>
      </c>
      <c r="C27" s="622">
        <v>0</v>
      </c>
      <c r="D27" s="622"/>
      <c r="E27" s="725">
        <f>G28</f>
        <v>637.75</v>
      </c>
      <c r="F27" s="622"/>
      <c r="G27" s="55">
        <v>0</v>
      </c>
      <c r="H27" s="725"/>
      <c r="I27" s="622"/>
      <c r="J27" s="622"/>
    </row>
    <row r="28" spans="1:10">
      <c r="A28" s="622"/>
      <c r="B28" s="622"/>
      <c r="C28" s="622"/>
      <c r="D28" s="622"/>
      <c r="E28" s="622"/>
      <c r="F28" s="622"/>
      <c r="G28" s="55">
        <f>SUM(G25:G27)</f>
        <v>637.75</v>
      </c>
      <c r="H28" s="725"/>
      <c r="I28" s="622"/>
      <c r="J28" s="622"/>
    </row>
    <row r="29" spans="1:10">
      <c r="A29" s="677" t="s">
        <v>209</v>
      </c>
      <c r="B29" s="622" t="s">
        <v>717</v>
      </c>
      <c r="C29" s="622"/>
      <c r="D29" s="622"/>
      <c r="E29" s="622"/>
      <c r="F29" s="622"/>
      <c r="G29" s="55"/>
      <c r="H29" s="725"/>
      <c r="I29" s="622"/>
      <c r="J29" s="622"/>
    </row>
    <row r="30" spans="1:10">
      <c r="A30" s="622"/>
      <c r="B30" s="622" t="s">
        <v>718</v>
      </c>
      <c r="C30" s="622">
        <v>1</v>
      </c>
      <c r="D30" s="622" t="s">
        <v>719</v>
      </c>
      <c r="E30" s="622">
        <v>534.29999999999995</v>
      </c>
      <c r="F30" s="622" t="s">
        <v>719</v>
      </c>
      <c r="G30" s="55">
        <f>E30*C30</f>
        <v>534.29999999999995</v>
      </c>
      <c r="H30" s="725"/>
      <c r="I30" s="622"/>
      <c r="J30" s="622"/>
    </row>
    <row r="31" spans="1:10">
      <c r="A31" s="622"/>
      <c r="B31" s="622"/>
      <c r="C31" s="622"/>
      <c r="D31" s="622"/>
      <c r="E31" s="622"/>
      <c r="F31" s="622"/>
      <c r="G31" s="55">
        <f>G30</f>
        <v>534.29999999999995</v>
      </c>
      <c r="H31" s="725"/>
      <c r="I31" s="622"/>
      <c r="J31" s="622"/>
    </row>
    <row r="32" spans="1:10">
      <c r="A32" s="677" t="s">
        <v>210</v>
      </c>
      <c r="B32" s="620" t="s">
        <v>160</v>
      </c>
      <c r="C32" s="622"/>
      <c r="D32" s="622"/>
      <c r="E32" s="622"/>
      <c r="F32" s="622"/>
      <c r="G32" s="55"/>
      <c r="H32" s="725"/>
      <c r="I32" s="622"/>
      <c r="J32" s="622"/>
    </row>
    <row r="33" spans="1:12">
      <c r="A33" s="622"/>
      <c r="B33" s="622" t="s">
        <v>720</v>
      </c>
      <c r="C33" s="622">
        <v>0.16200000000000001</v>
      </c>
      <c r="D33" s="622" t="s">
        <v>724</v>
      </c>
      <c r="E33" s="622">
        <v>4300</v>
      </c>
      <c r="F33" s="622" t="s">
        <v>724</v>
      </c>
      <c r="G33" s="55">
        <f>E33*C33</f>
        <v>696.6</v>
      </c>
      <c r="H33" s="725"/>
      <c r="I33" s="622"/>
      <c r="J33" s="622"/>
    </row>
    <row r="34" spans="1:12">
      <c r="A34" s="622"/>
      <c r="B34" s="622" t="s">
        <v>721</v>
      </c>
      <c r="C34" s="622">
        <v>0.9</v>
      </c>
      <c r="D34" s="622" t="s">
        <v>16</v>
      </c>
      <c r="E34" s="622">
        <v>1085.95</v>
      </c>
      <c r="F34" s="622" t="s">
        <v>16</v>
      </c>
      <c r="G34" s="55">
        <f t="shared" ref="G34:G37" si="0">E34*C34</f>
        <v>977.35500000000002</v>
      </c>
      <c r="H34" s="725"/>
      <c r="I34" s="622"/>
      <c r="J34" s="622"/>
    </row>
    <row r="35" spans="1:12">
      <c r="A35" s="622"/>
      <c r="B35" s="622" t="s">
        <v>722</v>
      </c>
      <c r="C35" s="622">
        <v>0.22500000000000001</v>
      </c>
      <c r="D35" s="622" t="s">
        <v>16</v>
      </c>
      <c r="E35" s="622">
        <v>2227.2600000000002</v>
      </c>
      <c r="F35" s="622" t="s">
        <v>16</v>
      </c>
      <c r="G35" s="55">
        <f t="shared" si="0"/>
        <v>501.13350000000008</v>
      </c>
      <c r="H35" s="725"/>
      <c r="I35" s="622"/>
      <c r="J35" s="622"/>
    </row>
    <row r="36" spans="1:12">
      <c r="A36" s="622"/>
      <c r="B36" s="622" t="s">
        <v>723</v>
      </c>
      <c r="C36" s="622">
        <v>0.22500000000000001</v>
      </c>
      <c r="D36" s="622" t="s">
        <v>16</v>
      </c>
      <c r="E36" s="622">
        <v>937.7</v>
      </c>
      <c r="F36" s="622" t="s">
        <v>16</v>
      </c>
      <c r="G36" s="55">
        <f t="shared" si="0"/>
        <v>210.98250000000002</v>
      </c>
      <c r="H36" s="725"/>
      <c r="I36" s="622"/>
      <c r="J36" s="622"/>
    </row>
    <row r="37" spans="1:12">
      <c r="A37" s="622"/>
      <c r="B37" s="622" t="s">
        <v>725</v>
      </c>
      <c r="C37" s="731">
        <v>1.2</v>
      </c>
      <c r="D37" s="622" t="s">
        <v>726</v>
      </c>
      <c r="E37" s="622">
        <v>73</v>
      </c>
      <c r="F37" s="622" t="s">
        <v>726</v>
      </c>
      <c r="G37" s="55">
        <f t="shared" si="0"/>
        <v>87.6</v>
      </c>
      <c r="H37" s="725"/>
      <c r="I37" s="622"/>
      <c r="J37" s="622"/>
    </row>
    <row r="38" spans="1:12">
      <c r="A38" s="622"/>
      <c r="B38" s="622"/>
      <c r="C38" s="622"/>
      <c r="D38" s="622"/>
      <c r="E38" s="622"/>
      <c r="F38" s="622"/>
      <c r="G38" s="55">
        <f>SUM(G33:G37)</f>
        <v>2473.6709999999998</v>
      </c>
      <c r="H38" s="725"/>
      <c r="I38" s="622"/>
      <c r="J38" s="622"/>
    </row>
    <row r="39" spans="1:12">
      <c r="A39" s="622"/>
      <c r="B39" s="622" t="s">
        <v>727</v>
      </c>
      <c r="C39" s="622"/>
      <c r="D39" s="622"/>
      <c r="E39" s="622"/>
      <c r="F39" s="622"/>
      <c r="G39" s="55">
        <f>G28+G31+G38</f>
        <v>3645.7209999999995</v>
      </c>
      <c r="H39" s="725"/>
      <c r="I39" s="622"/>
      <c r="J39" s="622"/>
    </row>
    <row r="40" spans="1:12">
      <c r="A40" s="622"/>
      <c r="B40" s="622" t="s">
        <v>710</v>
      </c>
      <c r="C40" s="622">
        <v>0.13614999999999999</v>
      </c>
      <c r="D40" s="622"/>
      <c r="E40" s="725">
        <f>G39</f>
        <v>3645.7209999999995</v>
      </c>
      <c r="F40" s="622"/>
      <c r="G40" s="55">
        <f>E40*0.13615</f>
        <v>496.36491414999989</v>
      </c>
      <c r="H40" s="726"/>
      <c r="I40" s="622"/>
      <c r="J40" s="622"/>
    </row>
    <row r="41" spans="1:12">
      <c r="A41" s="622"/>
      <c r="B41" s="622"/>
      <c r="C41" s="622"/>
      <c r="D41" s="622"/>
      <c r="E41" s="622"/>
      <c r="F41" s="622"/>
      <c r="G41" s="55">
        <f>SUM(G39:G40)</f>
        <v>4142.0859141499996</v>
      </c>
      <c r="H41" s="725" t="s">
        <v>709</v>
      </c>
      <c r="I41" s="622"/>
      <c r="J41" s="622"/>
    </row>
    <row r="42" spans="1:12">
      <c r="A42" s="622"/>
      <c r="B42" s="622" t="s">
        <v>711</v>
      </c>
      <c r="C42" s="622">
        <v>0.16009999999999999</v>
      </c>
      <c r="D42" s="622"/>
      <c r="E42" s="622"/>
      <c r="F42" s="622"/>
      <c r="G42" s="55">
        <f>G41*0.1601</f>
        <v>663.14795485541492</v>
      </c>
      <c r="H42" s="726"/>
      <c r="I42" s="622"/>
      <c r="J42" s="622"/>
      <c r="K42" s="732"/>
      <c r="L42" s="732"/>
    </row>
    <row r="43" spans="1:12">
      <c r="A43" s="622"/>
      <c r="B43" s="622"/>
      <c r="C43" s="622"/>
      <c r="D43" s="622"/>
      <c r="E43" s="622"/>
      <c r="F43" s="622"/>
      <c r="G43" s="593">
        <f>G41-G42</f>
        <v>3478.9379592945847</v>
      </c>
      <c r="H43" s="726" t="s">
        <v>709</v>
      </c>
      <c r="I43" s="622"/>
      <c r="J43" s="622"/>
      <c r="K43" s="732"/>
      <c r="L43" s="732"/>
    </row>
    <row r="44" spans="1:12">
      <c r="A44" s="622"/>
      <c r="B44" s="622"/>
      <c r="C44" s="622"/>
      <c r="D44" s="622"/>
      <c r="E44" s="622"/>
      <c r="F44" s="622"/>
      <c r="G44" s="622"/>
      <c r="H44" s="622"/>
      <c r="I44" s="622"/>
      <c r="J44" s="622"/>
      <c r="K44" s="732"/>
      <c r="L44" s="732"/>
    </row>
    <row r="45" spans="1:12" ht="157.5" customHeight="1">
      <c r="A45" s="140">
        <v>24</v>
      </c>
      <c r="B45" s="623" t="str">
        <f>'[1]FINAL OHT abs '!$B$7</f>
        <v xml:space="preserve">Providing and laying of Vibrated Reinforced Cement Concrete corresponding to M-30 grade Design Mix Concrete corresponding to IS 456 using weigh batcher with 20mm size well graded machine crushed hard granite chips (Coarse aggregate) from approved quarry with a minimum cement content of 400 kg/CuM including cost and conveyance of all materials like cement, Coarse aggregate, Fine aggregate, water etc., to site, including centering &amp; shuttering using steel scaffolding pipes, jack props, wallers, foot plates, brackets, steel centering plates weigh batcher etc machine mixing, laying concrete, vibrating, finishing smooth to required levels, curing, pumping to work spot, lifting of material with  mechanical equipment like winch, etc., all other incidental and operational charges, all labour charges, etc.,  but excluding cost of steel and its fabrication charges etc., complete as directed by Engineer-in-Charge for the following finished items of work,  excluding GST &amp; seigniorage charges.  </v>
      </c>
      <c r="C45" s="624"/>
      <c r="D45" s="624"/>
      <c r="E45" s="624"/>
      <c r="F45" s="624"/>
      <c r="G45" s="624"/>
      <c r="H45" s="624"/>
      <c r="I45" s="624"/>
      <c r="J45" s="625"/>
      <c r="K45" s="733"/>
      <c r="L45" s="733"/>
    </row>
    <row r="46" spans="1:12">
      <c r="A46" s="140"/>
      <c r="B46" s="626" t="s">
        <v>744</v>
      </c>
      <c r="C46" s="626"/>
      <c r="D46" s="626"/>
      <c r="E46" s="626"/>
      <c r="F46" s="626"/>
      <c r="G46" s="626"/>
      <c r="H46" s="643"/>
      <c r="I46" s="622"/>
      <c r="J46" s="622"/>
    </row>
    <row r="47" spans="1:12">
      <c r="A47" s="734"/>
      <c r="B47" s="630" t="s">
        <v>745</v>
      </c>
      <c r="C47" s="631"/>
      <c r="D47" s="632"/>
      <c r="E47" s="633"/>
      <c r="F47" s="633"/>
      <c r="G47" s="634"/>
      <c r="H47" s="635"/>
      <c r="I47" s="622"/>
      <c r="J47" s="622"/>
    </row>
    <row r="48" spans="1:12">
      <c r="A48" s="734"/>
      <c r="B48" s="636" t="s">
        <v>746</v>
      </c>
      <c r="C48" s="637"/>
      <c r="D48" s="638"/>
      <c r="E48" s="633"/>
      <c r="F48" s="633"/>
      <c r="G48" s="634"/>
      <c r="H48" s="635"/>
      <c r="I48" s="622"/>
      <c r="J48" s="622"/>
    </row>
    <row r="49" spans="1:10">
      <c r="A49" s="734"/>
      <c r="B49" s="633" t="s">
        <v>747</v>
      </c>
      <c r="C49" s="735">
        <v>400</v>
      </c>
      <c r="D49" s="640" t="s">
        <v>748</v>
      </c>
      <c r="E49" s="641">
        <f>[1]lead!$I$9/1000</f>
        <v>4.3</v>
      </c>
      <c r="F49" s="640" t="s">
        <v>749</v>
      </c>
      <c r="G49" s="640">
        <f>C49*E49</f>
        <v>1720</v>
      </c>
      <c r="H49" s="635"/>
      <c r="I49" s="622"/>
      <c r="J49" s="622"/>
    </row>
    <row r="50" spans="1:10">
      <c r="A50" s="734"/>
      <c r="B50" s="633" t="s">
        <v>750</v>
      </c>
      <c r="C50" s="736">
        <v>0.8</v>
      </c>
      <c r="D50" s="640" t="s">
        <v>12</v>
      </c>
      <c r="E50" s="640">
        <f>'[1]Data- ds'!$G$426</f>
        <v>1439.9484</v>
      </c>
      <c r="F50" s="640" t="s">
        <v>751</v>
      </c>
      <c r="G50" s="640">
        <f>C50*E50</f>
        <v>1151.9587200000001</v>
      </c>
      <c r="H50" s="635"/>
      <c r="I50" s="622"/>
      <c r="J50" s="622"/>
    </row>
    <row r="51" spans="1:10">
      <c r="A51" s="734"/>
      <c r="B51" s="633" t="s">
        <v>752</v>
      </c>
      <c r="C51" s="736">
        <v>0.2</v>
      </c>
      <c r="D51" s="640" t="s">
        <v>12</v>
      </c>
      <c r="E51" s="640">
        <f>[1]lead!$I$13</f>
        <v>2227.2599999999998</v>
      </c>
      <c r="F51" s="640" t="s">
        <v>753</v>
      </c>
      <c r="G51" s="640">
        <f>C51*E51</f>
        <v>445.452</v>
      </c>
      <c r="H51" s="635"/>
      <c r="I51" s="622"/>
      <c r="J51" s="622"/>
    </row>
    <row r="52" spans="1:10">
      <c r="A52" s="734"/>
      <c r="B52" s="633" t="s">
        <v>723</v>
      </c>
      <c r="C52" s="641">
        <v>0.2</v>
      </c>
      <c r="D52" s="640" t="s">
        <v>12</v>
      </c>
      <c r="E52" s="640">
        <f>[1]lead!$I$14</f>
        <v>937.69839999999999</v>
      </c>
      <c r="F52" s="640" t="s">
        <v>753</v>
      </c>
      <c r="G52" s="640">
        <f>C52*E52</f>
        <v>187.53968</v>
      </c>
      <c r="H52" s="635"/>
      <c r="I52" s="622"/>
      <c r="J52" s="622"/>
    </row>
    <row r="53" spans="1:10" ht="21.75" customHeight="1">
      <c r="A53" s="734"/>
      <c r="B53" s="633" t="s">
        <v>754</v>
      </c>
      <c r="C53" s="736">
        <v>1.2</v>
      </c>
      <c r="D53" s="640" t="s">
        <v>755</v>
      </c>
      <c r="E53" s="640">
        <v>73</v>
      </c>
      <c r="F53" s="640" t="s">
        <v>756</v>
      </c>
      <c r="G53" s="640">
        <f>C53*E53</f>
        <v>87.6</v>
      </c>
      <c r="H53" s="635"/>
      <c r="I53" s="622"/>
      <c r="J53" s="622"/>
    </row>
    <row r="54" spans="1:10">
      <c r="A54" s="734"/>
      <c r="B54" s="636" t="s">
        <v>757</v>
      </c>
      <c r="C54" s="640"/>
      <c r="D54" s="640"/>
      <c r="E54" s="643"/>
      <c r="F54" s="640"/>
      <c r="G54" s="640"/>
      <c r="H54" s="635"/>
      <c r="I54" s="622"/>
      <c r="J54" s="622"/>
    </row>
    <row r="55" spans="1:10">
      <c r="A55" s="734"/>
      <c r="B55" s="633" t="s">
        <v>758</v>
      </c>
      <c r="C55" s="736">
        <v>1.333</v>
      </c>
      <c r="D55" s="640" t="s">
        <v>759</v>
      </c>
      <c r="E55" s="640">
        <v>608.1</v>
      </c>
      <c r="F55" s="640" t="s">
        <v>760</v>
      </c>
      <c r="G55" s="640">
        <f>C55*E55</f>
        <v>810.59730000000002</v>
      </c>
      <c r="H55" s="635"/>
      <c r="I55" s="622"/>
      <c r="J55" s="622"/>
    </row>
    <row r="56" spans="1:10" ht="16.5" customHeight="1">
      <c r="A56" s="734"/>
      <c r="B56" s="633" t="s">
        <v>761</v>
      </c>
      <c r="C56" s="737">
        <v>1.333</v>
      </c>
      <c r="D56" s="640" t="s">
        <v>759</v>
      </c>
      <c r="E56" s="640">
        <v>205</v>
      </c>
      <c r="F56" s="640" t="s">
        <v>760</v>
      </c>
      <c r="G56" s="640">
        <f>C56*E56</f>
        <v>273.26499999999999</v>
      </c>
      <c r="H56" s="635"/>
      <c r="I56" s="622"/>
      <c r="J56" s="622"/>
    </row>
    <row r="57" spans="1:10">
      <c r="A57" s="734"/>
      <c r="B57" s="645"/>
      <c r="C57" s="646"/>
      <c r="D57" s="646"/>
      <c r="E57" s="647"/>
      <c r="F57" s="646"/>
      <c r="G57" s="646"/>
      <c r="H57" s="648"/>
      <c r="I57" s="622"/>
      <c r="J57" s="622"/>
    </row>
    <row r="58" spans="1:10">
      <c r="A58" s="734"/>
      <c r="B58" s="636" t="s">
        <v>762</v>
      </c>
      <c r="C58" s="640"/>
      <c r="D58" s="640"/>
      <c r="E58" s="643"/>
      <c r="F58" s="640"/>
      <c r="G58" s="640"/>
      <c r="H58" s="635"/>
      <c r="I58" s="622"/>
      <c r="J58" s="622"/>
    </row>
    <row r="59" spans="1:10">
      <c r="A59" s="734"/>
      <c r="B59" s="649" t="s">
        <v>763</v>
      </c>
      <c r="C59" s="736">
        <v>0.16700000000000001</v>
      </c>
      <c r="D59" s="640" t="s">
        <v>2</v>
      </c>
      <c r="E59" s="640">
        <v>470</v>
      </c>
      <c r="F59" s="640" t="s">
        <v>701</v>
      </c>
      <c r="G59" s="640">
        <f>C59*E59</f>
        <v>78.490000000000009</v>
      </c>
      <c r="H59" s="635"/>
      <c r="I59" s="622"/>
      <c r="J59" s="622"/>
    </row>
    <row r="60" spans="1:10">
      <c r="A60" s="734"/>
      <c r="B60" s="649" t="s">
        <v>764</v>
      </c>
      <c r="C60" s="736">
        <v>0.16700000000000001</v>
      </c>
      <c r="D60" s="640" t="s">
        <v>2</v>
      </c>
      <c r="E60" s="640">
        <v>450</v>
      </c>
      <c r="F60" s="640" t="s">
        <v>701</v>
      </c>
      <c r="G60" s="640">
        <f>C60*E60</f>
        <v>75.150000000000006</v>
      </c>
      <c r="H60" s="635"/>
      <c r="I60" s="622"/>
      <c r="J60" s="622"/>
    </row>
    <row r="61" spans="1:10">
      <c r="A61" s="734"/>
      <c r="B61" s="649" t="s">
        <v>700</v>
      </c>
      <c r="C61" s="736">
        <v>5.6</v>
      </c>
      <c r="D61" s="640" t="s">
        <v>2</v>
      </c>
      <c r="E61" s="640">
        <v>425</v>
      </c>
      <c r="F61" s="640" t="s">
        <v>701</v>
      </c>
      <c r="G61" s="640">
        <f>C61*E61</f>
        <v>2380</v>
      </c>
      <c r="H61" s="635"/>
      <c r="I61" s="622"/>
      <c r="J61" s="622"/>
    </row>
    <row r="62" spans="1:10">
      <c r="A62" s="734"/>
      <c r="B62" s="649" t="s">
        <v>765</v>
      </c>
      <c r="C62" s="738">
        <v>0</v>
      </c>
      <c r="D62" s="640"/>
      <c r="E62" s="640">
        <f>SUM(G59:G61)</f>
        <v>2533.64</v>
      </c>
      <c r="F62" s="640"/>
      <c r="G62" s="640">
        <f>C62*E62</f>
        <v>0</v>
      </c>
      <c r="H62" s="635"/>
      <c r="I62" s="622"/>
      <c r="J62" s="622"/>
    </row>
    <row r="63" spans="1:10">
      <c r="A63" s="646"/>
      <c r="B63" s="649"/>
      <c r="C63" s="641"/>
      <c r="D63" s="651"/>
      <c r="E63" s="643"/>
      <c r="F63" s="640"/>
      <c r="G63" s="640">
        <f>SUM(G49:G62)</f>
        <v>7210.0526999999993</v>
      </c>
      <c r="H63" s="635"/>
      <c r="I63" s="622"/>
      <c r="J63" s="622"/>
    </row>
    <row r="64" spans="1:10">
      <c r="A64" s="622"/>
      <c r="B64" s="739" t="s">
        <v>743</v>
      </c>
      <c r="C64" s="680">
        <v>0.13614999999999999</v>
      </c>
      <c r="D64" s="681" t="s">
        <v>276</v>
      </c>
      <c r="E64" s="682">
        <f>G62+G63</f>
        <v>7210.0526999999993</v>
      </c>
      <c r="F64" s="683"/>
      <c r="G64" s="683">
        <f>C64*E64</f>
        <v>981.64867510499982</v>
      </c>
      <c r="H64" s="726"/>
      <c r="I64" s="622"/>
      <c r="J64" s="622"/>
    </row>
    <row r="65" spans="1:10">
      <c r="A65" s="622"/>
      <c r="B65" s="740" t="s">
        <v>740</v>
      </c>
      <c r="C65" s="684">
        <v>1.7500000000000002E-2</v>
      </c>
      <c r="D65" s="681" t="s">
        <v>276</v>
      </c>
      <c r="E65" s="685">
        <f>E64+G64</f>
        <v>8191.701375104999</v>
      </c>
      <c r="F65" s="683"/>
      <c r="G65" s="683">
        <f>E65*C65-0.01</f>
        <v>143.34477406433751</v>
      </c>
      <c r="H65" s="726"/>
      <c r="I65" s="622"/>
      <c r="J65" s="622"/>
    </row>
    <row r="66" spans="1:10">
      <c r="A66" s="622"/>
      <c r="B66" s="740" t="s">
        <v>741</v>
      </c>
      <c r="C66" s="686"/>
      <c r="D66" s="681"/>
      <c r="E66" s="685"/>
      <c r="F66" s="683"/>
      <c r="G66" s="683">
        <v>0.01</v>
      </c>
      <c r="H66" s="726"/>
      <c r="I66" s="622"/>
      <c r="J66" s="622"/>
    </row>
    <row r="67" spans="1:10">
      <c r="A67" s="622"/>
      <c r="B67" s="741" t="s">
        <v>742</v>
      </c>
      <c r="C67" s="685"/>
      <c r="D67" s="687"/>
      <c r="E67" s="682"/>
      <c r="F67" s="683"/>
      <c r="G67" s="742">
        <f>SUM(G62:G66)</f>
        <v>8335.056149169337</v>
      </c>
      <c r="H67" s="725" t="s">
        <v>16</v>
      </c>
      <c r="I67" s="622"/>
      <c r="J67" s="622"/>
    </row>
    <row r="68" spans="1:10">
      <c r="A68" s="622"/>
      <c r="B68" s="622" t="s">
        <v>711</v>
      </c>
      <c r="C68" s="622">
        <v>0.16009999999999999</v>
      </c>
      <c r="D68" s="622"/>
      <c r="E68" s="622"/>
      <c r="F68" s="622"/>
      <c r="G68" s="55">
        <f>G67*0.1601</f>
        <v>1334.4424894820108</v>
      </c>
      <c r="H68" s="726"/>
      <c r="I68" s="622"/>
      <c r="J68" s="622"/>
    </row>
    <row r="69" spans="1:10">
      <c r="A69" s="622"/>
      <c r="B69" s="622"/>
      <c r="C69" s="622"/>
      <c r="D69" s="622"/>
      <c r="E69" s="622"/>
      <c r="F69" s="622"/>
      <c r="G69" s="593">
        <f>G67-G68</f>
        <v>7000.6136596873257</v>
      </c>
      <c r="H69" s="726" t="s">
        <v>709</v>
      </c>
      <c r="I69" s="622"/>
      <c r="J69" s="622"/>
    </row>
    <row r="70" spans="1:10" ht="40.5" customHeight="1">
      <c r="A70" s="677">
        <v>25</v>
      </c>
      <c r="B70" s="698" t="s">
        <v>55</v>
      </c>
      <c r="C70" s="698"/>
      <c r="D70" s="698"/>
      <c r="E70" s="698"/>
      <c r="F70" s="698"/>
      <c r="G70" s="698"/>
      <c r="H70" s="698"/>
      <c r="I70" s="698"/>
      <c r="J70" s="698"/>
    </row>
    <row r="71" spans="1:10">
      <c r="A71" s="677"/>
      <c r="B71" s="688" t="s">
        <v>831</v>
      </c>
      <c r="C71" s="710"/>
      <c r="D71" s="710"/>
      <c r="E71" s="710"/>
      <c r="F71" s="710"/>
      <c r="G71" s="710"/>
      <c r="H71" s="710"/>
      <c r="I71" s="710"/>
      <c r="J71" s="710"/>
    </row>
    <row r="72" spans="1:10">
      <c r="A72" s="677"/>
      <c r="B72" s="688" t="s">
        <v>832</v>
      </c>
      <c r="C72" s="710"/>
      <c r="D72" s="710"/>
      <c r="E72" s="710"/>
      <c r="F72" s="710"/>
      <c r="G72" s="710"/>
      <c r="H72" s="710"/>
      <c r="I72" s="710"/>
      <c r="J72" s="710"/>
    </row>
    <row r="73" spans="1:10">
      <c r="A73" s="677" t="s">
        <v>208</v>
      </c>
      <c r="B73" s="622" t="s">
        <v>833</v>
      </c>
      <c r="C73" s="55">
        <v>1</v>
      </c>
      <c r="D73" s="677" t="s">
        <v>56</v>
      </c>
      <c r="E73" s="55">
        <v>1332</v>
      </c>
      <c r="F73" s="677" t="s">
        <v>82</v>
      </c>
      <c r="G73" s="55">
        <f>ROUND((C73*E73),2)</f>
        <v>1332</v>
      </c>
      <c r="H73" s="622"/>
      <c r="I73" s="622"/>
      <c r="J73" s="622"/>
    </row>
    <row r="74" spans="1:10">
      <c r="A74" s="677"/>
      <c r="B74" s="622"/>
      <c r="C74" s="55"/>
      <c r="D74" s="677"/>
      <c r="E74" s="55"/>
      <c r="F74" s="677"/>
      <c r="G74" s="55">
        <f>G73</f>
        <v>1332</v>
      </c>
      <c r="H74" s="622"/>
      <c r="I74" s="622"/>
      <c r="J74" s="622"/>
    </row>
    <row r="75" spans="1:10">
      <c r="A75" s="677"/>
      <c r="B75" s="622" t="s">
        <v>834</v>
      </c>
      <c r="C75" s="55"/>
      <c r="D75" s="677"/>
      <c r="E75" s="55"/>
      <c r="F75" s="677"/>
      <c r="G75" s="55">
        <f>G74*0.13615</f>
        <v>181.3518</v>
      </c>
      <c r="H75" s="622"/>
      <c r="I75" s="622"/>
      <c r="J75" s="622"/>
    </row>
    <row r="76" spans="1:10">
      <c r="A76" s="677"/>
      <c r="B76" s="622"/>
      <c r="C76" s="55"/>
      <c r="D76" s="677"/>
      <c r="E76" s="55"/>
      <c r="F76" s="677"/>
      <c r="G76" s="55">
        <f>SUM(G74:G75)</f>
        <v>1513.3517999999999</v>
      </c>
      <c r="H76" s="622"/>
      <c r="I76" s="622"/>
      <c r="J76" s="622"/>
    </row>
    <row r="77" spans="1:10">
      <c r="A77" s="622"/>
      <c r="B77" s="622" t="s">
        <v>835</v>
      </c>
      <c r="C77" s="622"/>
      <c r="D77" s="622"/>
      <c r="E77" s="622"/>
      <c r="F77" s="622"/>
      <c r="G77" s="55">
        <f>G76*0.1601</f>
        <v>242.28762317999997</v>
      </c>
      <c r="H77" s="725"/>
      <c r="I77" s="622"/>
      <c r="J77" s="622"/>
    </row>
    <row r="78" spans="1:10">
      <c r="A78" s="622"/>
      <c r="B78" s="622"/>
      <c r="C78" s="622"/>
      <c r="D78" s="622"/>
      <c r="E78" s="622"/>
      <c r="F78" s="622"/>
      <c r="G78" s="593">
        <f>G76-G77</f>
        <v>1271.0641768199998</v>
      </c>
      <c r="H78" s="726" t="s">
        <v>82</v>
      </c>
      <c r="I78" s="622"/>
      <c r="J78" s="622"/>
    </row>
    <row r="79" spans="1:10" ht="136.5" customHeight="1">
      <c r="A79" s="677">
        <v>26</v>
      </c>
      <c r="B79" s="743" t="s">
        <v>202</v>
      </c>
      <c r="C79" s="743"/>
      <c r="D79" s="743"/>
      <c r="E79" s="743"/>
      <c r="F79" s="743"/>
      <c r="G79" s="743"/>
      <c r="H79" s="743"/>
      <c r="I79" s="743"/>
      <c r="J79" s="743"/>
    </row>
    <row r="80" spans="1:10">
      <c r="A80" s="677"/>
      <c r="B80" s="744" t="s">
        <v>836</v>
      </c>
      <c r="C80" s="744"/>
      <c r="D80" s="744"/>
      <c r="E80" s="744"/>
      <c r="F80" s="744"/>
      <c r="G80" s="744"/>
      <c r="H80" s="744"/>
      <c r="I80" s="744"/>
      <c r="J80" s="744"/>
    </row>
    <row r="81" spans="1:10">
      <c r="A81" s="677" t="s">
        <v>208</v>
      </c>
      <c r="B81" s="744" t="s">
        <v>160</v>
      </c>
      <c r="C81" s="744"/>
      <c r="D81" s="744"/>
      <c r="E81" s="744"/>
      <c r="F81" s="744"/>
      <c r="G81" s="744"/>
      <c r="H81" s="744"/>
      <c r="I81" s="744"/>
      <c r="J81" s="744"/>
    </row>
    <row r="82" spans="1:10" ht="31.5">
      <c r="A82" s="677"/>
      <c r="B82" s="710" t="s">
        <v>837</v>
      </c>
      <c r="C82" s="55">
        <v>1.05</v>
      </c>
      <c r="D82" s="677" t="s">
        <v>21</v>
      </c>
      <c r="E82" s="55">
        <v>45000</v>
      </c>
      <c r="F82" s="677" t="s">
        <v>22</v>
      </c>
      <c r="G82" s="55">
        <f>ROUND((C82*E82),2)</f>
        <v>47250</v>
      </c>
      <c r="H82" s="622"/>
      <c r="I82" s="622"/>
      <c r="J82" s="622"/>
    </row>
    <row r="83" spans="1:10">
      <c r="A83" s="677"/>
      <c r="B83" s="710" t="s">
        <v>838</v>
      </c>
      <c r="C83" s="55">
        <v>6</v>
      </c>
      <c r="D83" s="677" t="s">
        <v>139</v>
      </c>
      <c r="E83" s="55">
        <v>50</v>
      </c>
      <c r="F83" s="677" t="s">
        <v>789</v>
      </c>
      <c r="G83" s="55">
        <f>E83*C83</f>
        <v>300</v>
      </c>
      <c r="H83" s="622"/>
      <c r="I83" s="622"/>
      <c r="J83" s="622"/>
    </row>
    <row r="84" spans="1:10">
      <c r="A84" s="677"/>
      <c r="B84" s="710"/>
      <c r="C84" s="55"/>
      <c r="D84" s="677"/>
      <c r="E84" s="55"/>
      <c r="F84" s="677"/>
      <c r="G84" s="55">
        <f>SUM(G82:G83)</f>
        <v>47550</v>
      </c>
      <c r="H84" s="622"/>
      <c r="I84" s="622"/>
      <c r="J84" s="622"/>
    </row>
    <row r="85" spans="1:10" ht="31.5">
      <c r="A85" s="677" t="s">
        <v>209</v>
      </c>
      <c r="B85" s="710" t="s">
        <v>839</v>
      </c>
      <c r="C85" s="55"/>
      <c r="D85" s="677"/>
      <c r="E85" s="55"/>
      <c r="F85" s="677"/>
      <c r="G85" s="55"/>
      <c r="H85" s="622"/>
      <c r="I85" s="622"/>
      <c r="J85" s="622"/>
    </row>
    <row r="86" spans="1:10">
      <c r="A86" s="677"/>
      <c r="B86" s="710" t="s">
        <v>840</v>
      </c>
      <c r="C86" s="55">
        <v>3</v>
      </c>
      <c r="D86" s="677" t="s">
        <v>136</v>
      </c>
      <c r="E86" s="55">
        <v>565</v>
      </c>
      <c r="F86" s="677" t="s">
        <v>136</v>
      </c>
      <c r="G86" s="55">
        <f>E86*C86</f>
        <v>1695</v>
      </c>
      <c r="H86" s="622"/>
      <c r="I86" s="622"/>
      <c r="J86" s="622"/>
    </row>
    <row r="87" spans="1:10">
      <c r="A87" s="677"/>
      <c r="B87" s="710" t="s">
        <v>841</v>
      </c>
      <c r="C87" s="55">
        <v>7</v>
      </c>
      <c r="D87" s="677" t="s">
        <v>136</v>
      </c>
      <c r="E87" s="55">
        <v>470</v>
      </c>
      <c r="F87" s="677" t="s">
        <v>136</v>
      </c>
      <c r="G87" s="55">
        <f t="shared" ref="G87:G89" si="1">E87*C87</f>
        <v>3290</v>
      </c>
      <c r="H87" s="622"/>
      <c r="I87" s="622"/>
      <c r="J87" s="622"/>
    </row>
    <row r="88" spans="1:10">
      <c r="A88" s="677"/>
      <c r="B88" s="710" t="s">
        <v>842</v>
      </c>
      <c r="C88" s="55">
        <v>10</v>
      </c>
      <c r="D88" s="677" t="s">
        <v>136</v>
      </c>
      <c r="E88" s="55">
        <v>425</v>
      </c>
      <c r="F88" s="677" t="s">
        <v>136</v>
      </c>
      <c r="G88" s="55">
        <f t="shared" si="1"/>
        <v>4250</v>
      </c>
      <c r="H88" s="622"/>
      <c r="I88" s="622"/>
      <c r="J88" s="622"/>
    </row>
    <row r="89" spans="1:10">
      <c r="A89" s="677"/>
      <c r="B89" s="710" t="s">
        <v>702</v>
      </c>
      <c r="C89" s="55">
        <v>0</v>
      </c>
      <c r="D89" s="677"/>
      <c r="E89" s="55">
        <v>12525</v>
      </c>
      <c r="F89" s="677"/>
      <c r="G89" s="55">
        <f t="shared" si="1"/>
        <v>0</v>
      </c>
      <c r="H89" s="622"/>
      <c r="I89" s="622"/>
      <c r="J89" s="622"/>
    </row>
    <row r="90" spans="1:10">
      <c r="A90" s="677"/>
      <c r="B90" s="710"/>
      <c r="C90" s="55"/>
      <c r="D90" s="677"/>
      <c r="E90" s="55"/>
      <c r="F90" s="677"/>
      <c r="G90" s="55">
        <f>SUM(G86:G89)</f>
        <v>9235</v>
      </c>
      <c r="H90" s="622"/>
      <c r="I90" s="622"/>
      <c r="J90" s="622"/>
    </row>
    <row r="91" spans="1:10">
      <c r="A91" s="677"/>
      <c r="B91" s="710" t="s">
        <v>843</v>
      </c>
      <c r="C91" s="55"/>
      <c r="D91" s="677"/>
      <c r="E91" s="55"/>
      <c r="F91" s="677"/>
      <c r="G91" s="55">
        <f>G84+G90</f>
        <v>56785</v>
      </c>
      <c r="H91" s="622" t="s">
        <v>846</v>
      </c>
      <c r="I91" s="622"/>
      <c r="J91" s="622"/>
    </row>
    <row r="92" spans="1:10">
      <c r="A92" s="677"/>
      <c r="B92" s="710" t="s">
        <v>844</v>
      </c>
      <c r="C92" s="55"/>
      <c r="D92" s="677"/>
      <c r="E92" s="55"/>
      <c r="F92" s="677"/>
      <c r="G92" s="55">
        <f>G91/1000</f>
        <v>56.784999999999997</v>
      </c>
      <c r="H92" s="622" t="s">
        <v>847</v>
      </c>
      <c r="I92" s="622"/>
      <c r="J92" s="622"/>
    </row>
    <row r="93" spans="1:10" ht="31.5">
      <c r="A93" s="677"/>
      <c r="B93" s="710" t="s">
        <v>845</v>
      </c>
      <c r="C93" s="55"/>
      <c r="D93" s="677"/>
      <c r="E93" s="55"/>
      <c r="F93" s="677"/>
      <c r="G93" s="55">
        <f>G92*0.13615</f>
        <v>7.7312777499999994</v>
      </c>
      <c r="H93" s="622"/>
      <c r="I93" s="622"/>
      <c r="J93" s="622"/>
    </row>
    <row r="94" spans="1:10">
      <c r="A94" s="677"/>
      <c r="B94" s="710" t="s">
        <v>844</v>
      </c>
      <c r="C94" s="55"/>
      <c r="D94" s="677"/>
      <c r="E94" s="55"/>
      <c r="F94" s="677"/>
      <c r="G94" s="55">
        <f>SUM(G92:G93)</f>
        <v>64.51627775</v>
      </c>
      <c r="H94" s="622"/>
      <c r="I94" s="622"/>
      <c r="J94" s="622"/>
    </row>
    <row r="95" spans="1:10">
      <c r="A95" s="677"/>
      <c r="B95" s="710" t="s">
        <v>843</v>
      </c>
      <c r="C95" s="55"/>
      <c r="D95" s="677"/>
      <c r="E95" s="55"/>
      <c r="F95" s="677"/>
      <c r="G95" s="55">
        <f>G94*1000</f>
        <v>64516.277750000001</v>
      </c>
      <c r="H95" s="622" t="s">
        <v>846</v>
      </c>
      <c r="I95" s="622"/>
      <c r="J95" s="622"/>
    </row>
    <row r="96" spans="1:10">
      <c r="A96" s="622"/>
      <c r="B96" s="622" t="s">
        <v>411</v>
      </c>
      <c r="C96" s="622"/>
      <c r="D96" s="622"/>
      <c r="E96" s="622"/>
      <c r="F96" s="622"/>
      <c r="G96" s="55">
        <f>G95*0.1601</f>
        <v>10329.056067775</v>
      </c>
      <c r="H96" s="725"/>
      <c r="I96" s="622"/>
      <c r="J96" s="622"/>
    </row>
    <row r="97" spans="1:13">
      <c r="A97" s="622"/>
      <c r="B97" s="622"/>
      <c r="C97" s="622"/>
      <c r="D97" s="622"/>
      <c r="E97" s="622"/>
      <c r="F97" s="622"/>
      <c r="G97" s="593">
        <f>G95-G96</f>
        <v>54187.221682225005</v>
      </c>
      <c r="H97" s="726" t="s">
        <v>22</v>
      </c>
      <c r="I97" s="622"/>
      <c r="J97" s="622"/>
    </row>
    <row r="98" spans="1:13" ht="106.5" customHeight="1">
      <c r="A98" s="677">
        <v>27</v>
      </c>
      <c r="B98" s="743" t="s">
        <v>681</v>
      </c>
      <c r="C98" s="743"/>
      <c r="D98" s="743"/>
      <c r="E98" s="743"/>
      <c r="F98" s="743"/>
      <c r="G98" s="743"/>
      <c r="H98" s="743"/>
      <c r="I98" s="743"/>
      <c r="J98" s="743"/>
      <c r="K98" s="733"/>
      <c r="L98" s="733"/>
    </row>
    <row r="99" spans="1:13">
      <c r="A99" s="622"/>
      <c r="B99" s="745" t="s">
        <v>766</v>
      </c>
      <c r="C99" s="746"/>
      <c r="D99" s="746"/>
      <c r="E99" s="746"/>
      <c r="F99" s="746"/>
      <c r="G99" s="746"/>
      <c r="H99" s="746"/>
      <c r="I99" s="747"/>
      <c r="J99" s="622"/>
    </row>
    <row r="100" spans="1:13">
      <c r="A100" s="622"/>
      <c r="B100" s="622" t="s">
        <v>767</v>
      </c>
      <c r="C100" s="622"/>
      <c r="D100" s="622"/>
      <c r="E100" s="622"/>
      <c r="F100" s="622"/>
      <c r="G100" s="55"/>
      <c r="H100" s="725"/>
      <c r="I100" s="622"/>
      <c r="J100" s="622"/>
    </row>
    <row r="101" spans="1:13">
      <c r="A101" s="622"/>
      <c r="B101" s="622" t="s">
        <v>768</v>
      </c>
      <c r="C101" s="622">
        <v>3.12</v>
      </c>
      <c r="D101" s="622" t="s">
        <v>136</v>
      </c>
      <c r="E101" s="622">
        <v>425</v>
      </c>
      <c r="F101" s="622" t="s">
        <v>715</v>
      </c>
      <c r="G101" s="683">
        <f>C101*E101</f>
        <v>1326</v>
      </c>
      <c r="H101" s="726"/>
      <c r="I101" s="622"/>
      <c r="J101" s="622"/>
    </row>
    <row r="102" spans="1:13">
      <c r="A102" s="622"/>
      <c r="B102" s="622" t="s">
        <v>702</v>
      </c>
      <c r="C102" s="622">
        <v>0</v>
      </c>
      <c r="D102" s="681" t="s">
        <v>276</v>
      </c>
      <c r="E102" s="725">
        <f>G101</f>
        <v>1326</v>
      </c>
      <c r="F102" s="622"/>
      <c r="G102" s="683">
        <f>C102*E102</f>
        <v>0</v>
      </c>
      <c r="H102" s="622"/>
      <c r="I102" s="622"/>
      <c r="J102" s="622"/>
    </row>
    <row r="103" spans="1:13">
      <c r="A103" s="622"/>
      <c r="B103" s="622" t="s">
        <v>769</v>
      </c>
      <c r="C103" s="622"/>
      <c r="D103" s="681"/>
      <c r="E103" s="725"/>
      <c r="F103" s="622"/>
      <c r="G103" s="683">
        <f>SUM(G101:G102)</f>
        <v>1326</v>
      </c>
      <c r="H103" s="622" t="s">
        <v>771</v>
      </c>
      <c r="I103" s="622"/>
      <c r="J103" s="622"/>
    </row>
    <row r="104" spans="1:13">
      <c r="A104" s="622"/>
      <c r="B104" s="622" t="s">
        <v>770</v>
      </c>
      <c r="C104" s="622"/>
      <c r="D104" s="681"/>
      <c r="E104" s="725"/>
      <c r="F104" s="622"/>
      <c r="G104" s="683">
        <f>G103/6</f>
        <v>221</v>
      </c>
      <c r="H104" s="622" t="s">
        <v>709</v>
      </c>
      <c r="I104" s="622"/>
      <c r="J104" s="622"/>
    </row>
    <row r="105" spans="1:13">
      <c r="A105" s="622"/>
      <c r="B105" s="739" t="s">
        <v>743</v>
      </c>
      <c r="C105" s="689">
        <v>0.13614999999999999</v>
      </c>
      <c r="D105" s="681" t="s">
        <v>276</v>
      </c>
      <c r="E105" s="682">
        <f>G104</f>
        <v>221</v>
      </c>
      <c r="F105" s="683"/>
      <c r="G105" s="683">
        <f>C105*E105</f>
        <v>30.08915</v>
      </c>
      <c r="H105" s="622"/>
      <c r="I105" s="622"/>
      <c r="J105" s="622"/>
    </row>
    <row r="106" spans="1:13">
      <c r="A106" s="622"/>
      <c r="B106" s="622"/>
      <c r="C106" s="622"/>
      <c r="D106" s="622"/>
      <c r="E106" s="622"/>
      <c r="F106" s="622"/>
      <c r="G106" s="55">
        <f>SUM(G104:G105)</f>
        <v>251.08914999999999</v>
      </c>
      <c r="H106" s="622" t="s">
        <v>709</v>
      </c>
      <c r="I106" s="622"/>
      <c r="J106" s="622"/>
    </row>
    <row r="107" spans="1:13">
      <c r="A107" s="622"/>
      <c r="B107" s="622" t="s">
        <v>711</v>
      </c>
      <c r="C107" s="622">
        <v>0.16009999999999999</v>
      </c>
      <c r="D107" s="622"/>
      <c r="E107" s="622"/>
      <c r="F107" s="622"/>
      <c r="G107" s="55">
        <f>G106*0.1601</f>
        <v>40.199372914999998</v>
      </c>
      <c r="H107" s="748"/>
      <c r="I107" s="748"/>
      <c r="J107" s="749"/>
    </row>
    <row r="108" spans="1:13">
      <c r="A108" s="622"/>
      <c r="B108" s="622"/>
      <c r="C108" s="622"/>
      <c r="D108" s="622"/>
      <c r="E108" s="622"/>
      <c r="F108" s="622"/>
      <c r="G108" s="593">
        <f>G106-G107</f>
        <v>210.88977708499999</v>
      </c>
      <c r="H108" s="620" t="s">
        <v>709</v>
      </c>
      <c r="I108" s="622"/>
      <c r="J108" s="622"/>
    </row>
    <row r="109" spans="1:13">
      <c r="A109" s="622"/>
      <c r="B109" s="622"/>
      <c r="C109" s="622"/>
      <c r="D109" s="622"/>
      <c r="E109" s="622"/>
      <c r="F109" s="622"/>
      <c r="G109" s="55"/>
      <c r="H109" s="622"/>
      <c r="I109" s="622"/>
      <c r="J109" s="622"/>
      <c r="K109" s="732"/>
      <c r="L109" s="732"/>
      <c r="M109" s="732"/>
    </row>
    <row r="110" spans="1:13" ht="69.75" customHeight="1">
      <c r="A110" s="690">
        <v>28</v>
      </c>
      <c r="B110" s="691" t="s">
        <v>943</v>
      </c>
      <c r="C110" s="691"/>
      <c r="D110" s="691"/>
      <c r="E110" s="691"/>
      <c r="F110" s="691"/>
      <c r="G110" s="691"/>
      <c r="H110" s="691"/>
      <c r="I110" s="691"/>
      <c r="J110" s="691"/>
      <c r="K110" s="750"/>
      <c r="L110" s="750"/>
      <c r="M110" s="732"/>
    </row>
    <row r="111" spans="1:13" ht="18.75" customHeight="1">
      <c r="A111" s="622"/>
      <c r="B111" s="751" t="s">
        <v>944</v>
      </c>
      <c r="C111" s="752"/>
      <c r="D111" s="753"/>
      <c r="E111" s="754"/>
      <c r="F111" s="753"/>
      <c r="G111" s="752"/>
      <c r="H111" s="755"/>
      <c r="I111" s="622"/>
      <c r="J111" s="622"/>
      <c r="K111" s="750"/>
      <c r="L111" s="750"/>
      <c r="M111" s="732"/>
    </row>
    <row r="112" spans="1:13" ht="15.75" customHeight="1">
      <c r="A112" s="622"/>
      <c r="B112" s="751" t="s">
        <v>713</v>
      </c>
      <c r="C112" s="752"/>
      <c r="D112" s="753"/>
      <c r="E112" s="754"/>
      <c r="F112" s="753"/>
      <c r="G112" s="752"/>
      <c r="H112" s="755"/>
      <c r="I112" s="622"/>
      <c r="J112" s="622"/>
      <c r="K112" s="750"/>
      <c r="L112" s="750"/>
      <c r="M112" s="732"/>
    </row>
    <row r="113" spans="1:12" ht="18.75" customHeight="1">
      <c r="A113" s="622"/>
      <c r="B113" s="756" t="s">
        <v>863</v>
      </c>
      <c r="C113" s="757">
        <v>1.2</v>
      </c>
      <c r="D113" s="753" t="s">
        <v>871</v>
      </c>
      <c r="E113" s="758">
        <v>470</v>
      </c>
      <c r="F113" s="753"/>
      <c r="G113" s="757">
        <f>C113*E113</f>
        <v>564</v>
      </c>
      <c r="H113" s="755"/>
      <c r="I113" s="622"/>
      <c r="J113" s="622"/>
      <c r="K113" s="750"/>
      <c r="L113" s="750"/>
    </row>
    <row r="114" spans="1:12">
      <c r="A114" s="622"/>
      <c r="B114" s="756" t="s">
        <v>870</v>
      </c>
      <c r="C114" s="757">
        <v>2</v>
      </c>
      <c r="D114" s="753" t="s">
        <v>12</v>
      </c>
      <c r="E114" s="758">
        <v>425</v>
      </c>
      <c r="F114" s="753" t="s">
        <v>12</v>
      </c>
      <c r="G114" s="757">
        <f>C114*E114</f>
        <v>850</v>
      </c>
      <c r="H114" s="755"/>
      <c r="I114" s="622"/>
      <c r="J114" s="622"/>
      <c r="K114" s="732"/>
      <c r="L114" s="732"/>
    </row>
    <row r="115" spans="1:12">
      <c r="A115" s="622"/>
      <c r="B115" s="756" t="s">
        <v>864</v>
      </c>
      <c r="C115" s="757">
        <v>0</v>
      </c>
      <c r="D115" s="753"/>
      <c r="E115" s="758">
        <v>1364</v>
      </c>
      <c r="F115" s="753" t="s">
        <v>222</v>
      </c>
      <c r="G115" s="757">
        <f>C115*E115</f>
        <v>0</v>
      </c>
      <c r="H115" s="755"/>
      <c r="I115" s="622"/>
      <c r="J115" s="622"/>
      <c r="K115" s="732"/>
      <c r="L115" s="732"/>
    </row>
    <row r="116" spans="1:12">
      <c r="A116" s="622"/>
      <c r="B116" s="751" t="s">
        <v>160</v>
      </c>
      <c r="C116" s="752"/>
      <c r="D116" s="753"/>
      <c r="E116" s="754"/>
      <c r="F116" s="753"/>
      <c r="G116" s="757"/>
      <c r="H116" s="755"/>
      <c r="I116" s="622"/>
      <c r="J116" s="622"/>
    </row>
    <row r="117" spans="1:12">
      <c r="A117" s="622"/>
      <c r="B117" s="756" t="s">
        <v>945</v>
      </c>
      <c r="C117" s="752">
        <v>0.33</v>
      </c>
      <c r="D117" s="753" t="s">
        <v>136</v>
      </c>
      <c r="E117" s="759">
        <v>2417.2600000000002</v>
      </c>
      <c r="F117" s="753" t="s">
        <v>136</v>
      </c>
      <c r="G117" s="757">
        <f>C117*E117</f>
        <v>797.69580000000008</v>
      </c>
      <c r="H117" s="755"/>
      <c r="I117" s="622"/>
      <c r="J117" s="622"/>
    </row>
    <row r="118" spans="1:12">
      <c r="A118" s="622"/>
      <c r="B118" s="756" t="s">
        <v>946</v>
      </c>
      <c r="C118" s="757">
        <v>0.5</v>
      </c>
      <c r="D118" s="753" t="s">
        <v>136</v>
      </c>
      <c r="E118" s="759">
        <v>721</v>
      </c>
      <c r="F118" s="753" t="s">
        <v>136</v>
      </c>
      <c r="G118" s="757">
        <f>C118*E118</f>
        <v>360.5</v>
      </c>
      <c r="H118" s="755"/>
      <c r="I118" s="622"/>
      <c r="J118" s="622"/>
    </row>
    <row r="119" spans="1:12">
      <c r="A119" s="622"/>
      <c r="B119" s="756" t="s">
        <v>950</v>
      </c>
      <c r="C119" s="760">
        <v>7.9200000000000007E-2</v>
      </c>
      <c r="D119" s="753" t="s">
        <v>21</v>
      </c>
      <c r="E119" s="759">
        <v>4300</v>
      </c>
      <c r="F119" s="753"/>
      <c r="G119" s="757">
        <f>C119*E119</f>
        <v>340.56</v>
      </c>
      <c r="H119" s="755"/>
      <c r="I119" s="622"/>
      <c r="J119" s="622"/>
    </row>
    <row r="120" spans="1:12" ht="15.75" customHeight="1">
      <c r="A120" s="622"/>
      <c r="B120" s="756" t="s">
        <v>947</v>
      </c>
      <c r="C120" s="752">
        <v>0.44</v>
      </c>
      <c r="D120" s="753"/>
      <c r="E120" s="754">
        <v>731.95</v>
      </c>
      <c r="F120" s="753"/>
      <c r="G120" s="757">
        <f>E120*C120</f>
        <v>322.05800000000005</v>
      </c>
      <c r="H120" s="755"/>
      <c r="I120" s="622"/>
      <c r="J120" s="622"/>
      <c r="K120" s="733"/>
      <c r="L120" s="733"/>
    </row>
    <row r="121" spans="1:12" ht="15.75" customHeight="1">
      <c r="A121" s="622"/>
      <c r="B121" s="756" t="s">
        <v>948</v>
      </c>
      <c r="C121" s="752">
        <v>0.16</v>
      </c>
      <c r="D121" s="753"/>
      <c r="E121" s="754">
        <v>1691.28</v>
      </c>
      <c r="F121" s="753"/>
      <c r="G121" s="757">
        <f>E121*C121</f>
        <v>270.60480000000001</v>
      </c>
      <c r="H121" s="755"/>
      <c r="I121" s="622"/>
      <c r="J121" s="622"/>
      <c r="K121" s="733"/>
      <c r="L121" s="733"/>
    </row>
    <row r="122" spans="1:12" ht="15.75" customHeight="1">
      <c r="A122" s="622"/>
      <c r="B122" s="756" t="s">
        <v>949</v>
      </c>
      <c r="C122" s="752"/>
      <c r="D122" s="753"/>
      <c r="E122" s="754"/>
      <c r="F122" s="753"/>
      <c r="G122" s="757">
        <f>SUM(G113:G121)</f>
        <v>3505.4186</v>
      </c>
      <c r="H122" s="755"/>
      <c r="I122" s="622"/>
      <c r="J122" s="622"/>
      <c r="K122" s="733"/>
      <c r="L122" s="733"/>
    </row>
    <row r="123" spans="1:12" ht="15.75" customHeight="1">
      <c r="A123" s="622"/>
      <c r="B123" s="756" t="s">
        <v>865</v>
      </c>
      <c r="C123" s="752">
        <v>0.13614999999999999</v>
      </c>
      <c r="D123" s="753"/>
      <c r="E123" s="758">
        <f>G120</f>
        <v>322.05800000000005</v>
      </c>
      <c r="F123" s="753"/>
      <c r="G123" s="757">
        <f>C123*E123</f>
        <v>43.848196700000003</v>
      </c>
      <c r="H123" s="755"/>
      <c r="I123" s="622"/>
      <c r="J123" s="622"/>
      <c r="K123" s="733"/>
      <c r="L123" s="733"/>
    </row>
    <row r="124" spans="1:12" ht="15.75" customHeight="1">
      <c r="A124" s="622"/>
      <c r="B124" s="751"/>
      <c r="C124" s="752"/>
      <c r="D124" s="753"/>
      <c r="E124" s="754"/>
      <c r="F124" s="753"/>
      <c r="G124" s="761">
        <f>SUM(G120:G123)</f>
        <v>4141.9295966999998</v>
      </c>
      <c r="H124" s="755"/>
      <c r="I124" s="622"/>
      <c r="J124" s="622"/>
      <c r="K124" s="732"/>
      <c r="L124" s="732"/>
    </row>
    <row r="125" spans="1:12" ht="17.25" customHeight="1">
      <c r="A125" s="622"/>
      <c r="B125" s="751" t="s">
        <v>866</v>
      </c>
      <c r="C125" s="752"/>
      <c r="D125" s="753"/>
      <c r="E125" s="754"/>
      <c r="F125" s="753"/>
      <c r="G125" s="757">
        <f>ROUNDUP(SUM(G124:G124),1)-SUM(G124:G124)</f>
        <v>7.0403300000180025E-2</v>
      </c>
      <c r="H125" s="755"/>
      <c r="I125" s="622"/>
      <c r="J125" s="622"/>
      <c r="K125" s="732"/>
      <c r="L125" s="732"/>
    </row>
    <row r="126" spans="1:12" ht="15.75" customHeight="1">
      <c r="A126" s="622"/>
      <c r="B126" s="751" t="s">
        <v>867</v>
      </c>
      <c r="C126" s="752"/>
      <c r="D126" s="753"/>
      <c r="E126" s="754"/>
      <c r="F126" s="753"/>
      <c r="G126" s="757">
        <f>ROUND(SUM(G124:G125),2)</f>
        <v>4142</v>
      </c>
      <c r="H126" s="755" t="s">
        <v>709</v>
      </c>
      <c r="I126" s="622"/>
      <c r="J126" s="622"/>
      <c r="K126" s="732"/>
      <c r="L126" s="732"/>
    </row>
    <row r="127" spans="1:12" ht="15.75" customHeight="1">
      <c r="A127" s="622"/>
      <c r="B127" s="751" t="s">
        <v>711</v>
      </c>
      <c r="C127" s="752"/>
      <c r="D127" s="753"/>
      <c r="E127" s="754"/>
      <c r="F127" s="753"/>
      <c r="G127" s="757">
        <f>G126*0.1601</f>
        <v>663.13419999999996</v>
      </c>
      <c r="H127" s="755"/>
      <c r="I127" s="622"/>
      <c r="J127" s="622"/>
      <c r="K127" s="732"/>
      <c r="L127" s="732"/>
    </row>
    <row r="128" spans="1:12">
      <c r="A128" s="622"/>
      <c r="B128" s="622"/>
      <c r="C128" s="622"/>
      <c r="D128" s="622"/>
      <c r="E128" s="622"/>
      <c r="F128" s="622"/>
      <c r="G128" s="726">
        <f>G126-G127</f>
        <v>3478.8658</v>
      </c>
      <c r="H128" s="755" t="s">
        <v>709</v>
      </c>
      <c r="I128" s="622"/>
      <c r="J128" s="622"/>
      <c r="K128" s="732"/>
      <c r="L128" s="732"/>
    </row>
    <row r="129" spans="1:12" ht="51" customHeight="1">
      <c r="A129" s="677">
        <v>29</v>
      </c>
      <c r="B129" s="762" t="s">
        <v>848</v>
      </c>
      <c r="C129" s="763"/>
      <c r="D129" s="763"/>
      <c r="E129" s="763"/>
      <c r="F129" s="763"/>
      <c r="G129" s="763"/>
      <c r="H129" s="763"/>
      <c r="I129" s="763"/>
      <c r="J129" s="764"/>
      <c r="K129" s="750"/>
      <c r="L129" s="750"/>
    </row>
    <row r="130" spans="1:12" ht="20.25" customHeight="1">
      <c r="A130" s="677" t="s">
        <v>208</v>
      </c>
      <c r="B130" s="765" t="s">
        <v>849</v>
      </c>
      <c r="C130" s="766"/>
      <c r="D130" s="767"/>
      <c r="E130" s="767"/>
      <c r="F130" s="767"/>
      <c r="G130" s="768"/>
      <c r="H130" s="769"/>
      <c r="I130" s="710"/>
      <c r="J130" s="710"/>
      <c r="K130" s="750"/>
      <c r="L130" s="750"/>
    </row>
    <row r="131" spans="1:12" ht="47.25">
      <c r="A131" s="622"/>
      <c r="B131" s="770" t="s">
        <v>850</v>
      </c>
      <c r="C131" s="766">
        <v>110</v>
      </c>
      <c r="D131" s="767" t="s">
        <v>851</v>
      </c>
      <c r="E131" s="767">
        <v>25</v>
      </c>
      <c r="F131" s="771" t="s">
        <v>715</v>
      </c>
      <c r="G131" s="772">
        <f>ROUND(C131*E131,2)</f>
        <v>2750</v>
      </c>
      <c r="H131" s="769"/>
      <c r="I131" s="622"/>
      <c r="J131" s="622"/>
    </row>
    <row r="132" spans="1:12">
      <c r="A132" s="622"/>
      <c r="B132" s="770" t="s">
        <v>861</v>
      </c>
      <c r="C132" s="773">
        <v>0.1</v>
      </c>
      <c r="D132" s="767" t="s">
        <v>12</v>
      </c>
      <c r="E132" s="767">
        <v>3655.12</v>
      </c>
      <c r="F132" s="774" t="s">
        <v>12</v>
      </c>
      <c r="G132" s="772">
        <f>ROUND(C132*E132,2)</f>
        <v>365.51</v>
      </c>
      <c r="H132" s="769"/>
      <c r="I132" s="622"/>
      <c r="J132" s="622"/>
    </row>
    <row r="133" spans="1:12">
      <c r="A133" s="622"/>
      <c r="B133" s="765" t="s">
        <v>852</v>
      </c>
      <c r="C133" s="766"/>
      <c r="D133" s="767"/>
      <c r="E133" s="767"/>
      <c r="F133" s="775"/>
      <c r="G133" s="769"/>
      <c r="H133" s="769"/>
      <c r="I133" s="622"/>
      <c r="J133" s="622"/>
    </row>
    <row r="134" spans="1:12" ht="18">
      <c r="A134" s="622"/>
      <c r="B134" s="770" t="s">
        <v>1037</v>
      </c>
      <c r="C134" s="776">
        <v>0.42</v>
      </c>
      <c r="D134" s="767" t="s">
        <v>136</v>
      </c>
      <c r="E134" s="777">
        <v>470</v>
      </c>
      <c r="F134" s="771" t="s">
        <v>715</v>
      </c>
      <c r="G134" s="772">
        <f>ROUND(C134*E134,2)</f>
        <v>197.4</v>
      </c>
      <c r="H134" s="769"/>
      <c r="I134" s="622"/>
      <c r="J134" s="622"/>
    </row>
    <row r="135" spans="1:12">
      <c r="A135" s="622"/>
      <c r="B135" s="770" t="s">
        <v>853</v>
      </c>
      <c r="C135" s="776">
        <v>0.92</v>
      </c>
      <c r="D135" s="767" t="s">
        <v>136</v>
      </c>
      <c r="E135" s="777">
        <v>450</v>
      </c>
      <c r="F135" s="771" t="s">
        <v>715</v>
      </c>
      <c r="G135" s="772">
        <f>ROUND(C135*E135,2)</f>
        <v>414</v>
      </c>
      <c r="H135" s="769"/>
      <c r="I135" s="622"/>
      <c r="J135" s="622"/>
    </row>
    <row r="136" spans="1:12">
      <c r="A136" s="622"/>
      <c r="B136" s="770" t="s">
        <v>854</v>
      </c>
      <c r="C136" s="776">
        <v>0.7</v>
      </c>
      <c r="D136" s="767" t="s">
        <v>136</v>
      </c>
      <c r="E136" s="777">
        <v>425</v>
      </c>
      <c r="F136" s="771" t="s">
        <v>715</v>
      </c>
      <c r="G136" s="772">
        <f>ROUND(C136*E136,2)</f>
        <v>297.5</v>
      </c>
      <c r="H136" s="769"/>
      <c r="I136" s="622"/>
      <c r="J136" s="622"/>
    </row>
    <row r="137" spans="1:12">
      <c r="A137" s="622"/>
      <c r="B137" s="770" t="s">
        <v>855</v>
      </c>
      <c r="C137" s="776">
        <v>2.1</v>
      </c>
      <c r="D137" s="767" t="s">
        <v>136</v>
      </c>
      <c r="E137" s="777">
        <f>E136</f>
        <v>425</v>
      </c>
      <c r="F137" s="771" t="s">
        <v>715</v>
      </c>
      <c r="G137" s="772">
        <f>ROUND(C137*E137,2)</f>
        <v>892.5</v>
      </c>
      <c r="H137" s="769"/>
      <c r="I137" s="622"/>
      <c r="J137" s="622"/>
    </row>
    <row r="138" spans="1:12">
      <c r="A138" s="622"/>
      <c r="B138" s="778" t="s">
        <v>856</v>
      </c>
      <c r="C138" s="776">
        <v>0</v>
      </c>
      <c r="D138" s="767"/>
      <c r="E138" s="767">
        <f>SUM(G134:G137)</f>
        <v>1801.4</v>
      </c>
      <c r="F138" s="767"/>
      <c r="G138" s="772">
        <f>ROUND(C138*E138,2)</f>
        <v>0</v>
      </c>
      <c r="H138" s="769"/>
      <c r="I138" s="622"/>
      <c r="J138" s="622"/>
    </row>
    <row r="139" spans="1:12">
      <c r="A139" s="622"/>
      <c r="B139" s="778"/>
      <c r="C139" s="776"/>
      <c r="D139" s="767"/>
      <c r="E139" s="767"/>
      <c r="F139" s="767"/>
      <c r="G139" s="779">
        <f>SUM(G131:G138)</f>
        <v>4916.91</v>
      </c>
      <c r="H139" s="769"/>
      <c r="I139" s="622"/>
      <c r="J139" s="622"/>
    </row>
    <row r="140" spans="1:12" ht="31.5">
      <c r="A140" s="622"/>
      <c r="B140" s="780" t="s">
        <v>857</v>
      </c>
      <c r="C140" s="692">
        <v>0.13614999999999999</v>
      </c>
      <c r="D140" s="693"/>
      <c r="E140" s="694">
        <f>G139</f>
        <v>4916.91</v>
      </c>
      <c r="F140" s="695"/>
      <c r="G140" s="696">
        <f>C140*E140</f>
        <v>669.4372965</v>
      </c>
      <c r="H140" s="697"/>
      <c r="I140" s="622"/>
      <c r="J140" s="622"/>
    </row>
    <row r="141" spans="1:12">
      <c r="A141" s="622"/>
      <c r="B141" s="780"/>
      <c r="C141" s="692"/>
      <c r="D141" s="693"/>
      <c r="E141" s="694"/>
      <c r="F141" s="695"/>
      <c r="G141" s="696">
        <f>SUM(G139:G140)</f>
        <v>5586.3472965000001</v>
      </c>
      <c r="H141" s="697"/>
      <c r="I141" s="622"/>
      <c r="J141" s="622"/>
    </row>
    <row r="142" spans="1:12">
      <c r="A142" s="622"/>
      <c r="B142" s="780"/>
      <c r="C142" s="692"/>
      <c r="D142" s="693"/>
      <c r="E142" s="694"/>
      <c r="F142" s="695"/>
      <c r="G142" s="781">
        <f>ROUNDUP(SUM(G141:G141),1)-SUM(G141:G141)</f>
        <v>5.2703500000461645E-2</v>
      </c>
      <c r="H142" s="697"/>
      <c r="I142" s="622"/>
      <c r="J142" s="622"/>
    </row>
    <row r="143" spans="1:12">
      <c r="A143" s="622"/>
      <c r="B143" s="765" t="s">
        <v>858</v>
      </c>
      <c r="C143" s="782"/>
      <c r="D143" s="783"/>
      <c r="E143" s="783"/>
      <c r="F143" s="784" t="s">
        <v>859</v>
      </c>
      <c r="G143" s="233">
        <f>ROUND(SUM(G141:G142),2)</f>
        <v>5586.4</v>
      </c>
      <c r="H143" s="785" t="s">
        <v>860</v>
      </c>
      <c r="I143" s="622"/>
      <c r="J143" s="622"/>
    </row>
    <row r="144" spans="1:12">
      <c r="A144" s="622"/>
      <c r="B144" s="622" t="s">
        <v>862</v>
      </c>
      <c r="C144" s="622"/>
      <c r="D144" s="622"/>
      <c r="E144" s="622"/>
      <c r="F144" s="622"/>
      <c r="G144" s="725">
        <f>G143*0.1601</f>
        <v>894.38263999999992</v>
      </c>
      <c r="H144" s="622"/>
      <c r="I144" s="622"/>
      <c r="J144" s="622"/>
    </row>
    <row r="145" spans="1:12">
      <c r="A145" s="622"/>
      <c r="B145" s="622"/>
      <c r="C145" s="622"/>
      <c r="D145" s="622"/>
      <c r="E145" s="622"/>
      <c r="F145" s="622"/>
      <c r="G145" s="726">
        <f>G143-G144</f>
        <v>4692.0173599999998</v>
      </c>
      <c r="H145" s="785" t="s">
        <v>860</v>
      </c>
      <c r="I145" s="622"/>
      <c r="J145" s="622"/>
      <c r="K145" s="732"/>
      <c r="L145" s="732"/>
    </row>
    <row r="146" spans="1:12" ht="68.25" customHeight="1">
      <c r="A146" s="677">
        <v>30</v>
      </c>
      <c r="B146" s="698" t="s">
        <v>638</v>
      </c>
      <c r="C146" s="698"/>
      <c r="D146" s="698"/>
      <c r="E146" s="698"/>
      <c r="F146" s="698"/>
      <c r="G146" s="698"/>
      <c r="H146" s="698"/>
      <c r="I146" s="698"/>
      <c r="J146" s="698"/>
      <c r="K146" s="750"/>
      <c r="L146" s="750"/>
    </row>
    <row r="147" spans="1:12">
      <c r="A147" s="677" t="s">
        <v>208</v>
      </c>
      <c r="B147" s="622" t="s">
        <v>932</v>
      </c>
      <c r="C147" s="55">
        <v>1</v>
      </c>
      <c r="D147" s="55" t="s">
        <v>56</v>
      </c>
      <c r="E147" s="55">
        <v>3890</v>
      </c>
      <c r="F147" s="55" t="s">
        <v>82</v>
      </c>
      <c r="G147" s="55">
        <f>ROUND((E147*C147),2)</f>
        <v>3890</v>
      </c>
      <c r="H147" s="786" t="s">
        <v>933</v>
      </c>
      <c r="I147" s="786"/>
      <c r="J147" s="786"/>
      <c r="K147" s="732"/>
      <c r="L147" s="732"/>
    </row>
    <row r="148" spans="1:12">
      <c r="A148" s="622"/>
      <c r="B148" s="622" t="s">
        <v>639</v>
      </c>
      <c r="C148" s="622"/>
      <c r="D148" s="622"/>
      <c r="E148" s="622"/>
      <c r="F148" s="622"/>
      <c r="G148" s="55">
        <f>G147*0.05</f>
        <v>194.5</v>
      </c>
      <c r="H148" s="622"/>
      <c r="I148" s="622"/>
      <c r="J148" s="622"/>
    </row>
    <row r="149" spans="1:12">
      <c r="A149" s="622"/>
      <c r="B149" s="622"/>
      <c r="C149" s="622"/>
      <c r="D149" s="622"/>
      <c r="E149" s="622"/>
      <c r="F149" s="622"/>
      <c r="G149" s="55">
        <f>SUM(G147:G148)</f>
        <v>4084.5</v>
      </c>
      <c r="H149" s="622"/>
      <c r="I149" s="622"/>
      <c r="J149" s="622"/>
    </row>
    <row r="150" spans="1:12">
      <c r="A150" s="622"/>
      <c r="B150" s="622" t="s">
        <v>628</v>
      </c>
      <c r="C150" s="55"/>
      <c r="D150" s="55"/>
      <c r="E150" s="55"/>
      <c r="F150" s="55"/>
      <c r="G150" s="55">
        <f>G149*0.13615</f>
        <v>556.10467499999993</v>
      </c>
      <c r="H150" s="622"/>
      <c r="I150" s="622"/>
      <c r="J150" s="622"/>
    </row>
    <row r="151" spans="1:12">
      <c r="A151" s="622"/>
      <c r="B151" s="622"/>
      <c r="C151" s="55"/>
      <c r="D151" s="55"/>
      <c r="E151" s="55"/>
      <c r="F151" s="55"/>
      <c r="G151" s="55">
        <f>SUM(G149:G150)</f>
        <v>4640.6046749999996</v>
      </c>
      <c r="H151" s="622"/>
      <c r="I151" s="622"/>
      <c r="J151" s="622"/>
    </row>
    <row r="152" spans="1:12">
      <c r="A152" s="622"/>
      <c r="B152" s="622" t="s">
        <v>411</v>
      </c>
      <c r="C152" s="622"/>
      <c r="D152" s="622"/>
      <c r="E152" s="622"/>
      <c r="F152" s="622"/>
      <c r="G152" s="55">
        <f>G151*0.1601</f>
        <v>742.96080846749987</v>
      </c>
      <c r="H152" s="725"/>
      <c r="I152" s="622"/>
      <c r="J152" s="622"/>
    </row>
    <row r="153" spans="1:12">
      <c r="A153" s="622"/>
      <c r="B153" s="622"/>
      <c r="C153" s="622"/>
      <c r="D153" s="622"/>
      <c r="E153" s="622"/>
      <c r="F153" s="622"/>
      <c r="G153" s="593">
        <f>G151-G152</f>
        <v>3897.6438665324995</v>
      </c>
      <c r="H153" s="787" t="s">
        <v>82</v>
      </c>
      <c r="I153" s="622"/>
      <c r="J153" s="622"/>
      <c r="K153" s="732"/>
      <c r="L153" s="732"/>
    </row>
    <row r="154" spans="1:12" hidden="1">
      <c r="A154" s="622"/>
      <c r="B154" s="622"/>
      <c r="C154" s="622"/>
      <c r="D154" s="622"/>
      <c r="E154" s="622"/>
      <c r="F154" s="622"/>
      <c r="G154" s="622"/>
      <c r="H154" s="622"/>
      <c r="I154" s="622"/>
      <c r="J154" s="622"/>
      <c r="K154" s="732"/>
      <c r="L154" s="732"/>
    </row>
    <row r="155" spans="1:12" ht="77.25" customHeight="1">
      <c r="A155" s="699">
        <v>31</v>
      </c>
      <c r="B155" s="788" t="s">
        <v>868</v>
      </c>
      <c r="C155" s="788"/>
      <c r="D155" s="788"/>
      <c r="E155" s="788"/>
      <c r="F155" s="788"/>
      <c r="G155" s="788"/>
      <c r="H155" s="788"/>
      <c r="I155" s="788"/>
      <c r="J155" s="788"/>
      <c r="K155" s="789"/>
      <c r="L155" s="789"/>
    </row>
    <row r="156" spans="1:12" ht="15" customHeight="1">
      <c r="A156" s="677"/>
      <c r="B156" s="756" t="s">
        <v>869</v>
      </c>
      <c r="C156" s="790"/>
      <c r="D156" s="790"/>
      <c r="E156" s="791"/>
      <c r="F156" s="792"/>
      <c r="G156" s="793"/>
      <c r="H156" s="794"/>
      <c r="I156" s="795"/>
      <c r="J156" s="795"/>
      <c r="K156" s="789"/>
      <c r="L156" s="789"/>
    </row>
    <row r="157" spans="1:12" ht="15" customHeight="1">
      <c r="A157" s="677"/>
      <c r="B157" s="796" t="s">
        <v>713</v>
      </c>
      <c r="C157" s="790"/>
      <c r="D157" s="790"/>
      <c r="E157" s="791"/>
      <c r="F157" s="792"/>
      <c r="G157" s="793"/>
      <c r="H157" s="794"/>
      <c r="I157" s="795"/>
      <c r="J157" s="795"/>
      <c r="K157" s="789"/>
      <c r="L157" s="789"/>
    </row>
    <row r="158" spans="1:12" ht="15" customHeight="1">
      <c r="A158" s="677"/>
      <c r="B158" s="756" t="s">
        <v>870</v>
      </c>
      <c r="C158" s="797">
        <v>3.9</v>
      </c>
      <c r="D158" s="790" t="s">
        <v>871</v>
      </c>
      <c r="E158" s="798">
        <v>425</v>
      </c>
      <c r="F158" s="792"/>
      <c r="G158" s="757">
        <f>ROUND(E158*C158,2)</f>
        <v>1657.5</v>
      </c>
      <c r="H158" s="794"/>
      <c r="I158" s="799"/>
      <c r="J158" s="799"/>
      <c r="K158" s="789"/>
      <c r="L158" s="789"/>
    </row>
    <row r="159" spans="1:12" ht="15" customHeight="1">
      <c r="A159" s="677"/>
      <c r="B159" s="800" t="s">
        <v>728</v>
      </c>
      <c r="C159" s="797">
        <v>0.63</v>
      </c>
      <c r="D159" s="790" t="s">
        <v>871</v>
      </c>
      <c r="E159" s="801">
        <v>470</v>
      </c>
      <c r="F159" s="792"/>
      <c r="G159" s="757">
        <f>ROUND(E159*C159,2)</f>
        <v>296.10000000000002</v>
      </c>
      <c r="H159" s="794"/>
      <c r="I159" s="799"/>
      <c r="J159" s="799"/>
      <c r="K159" s="789"/>
      <c r="L159" s="789"/>
    </row>
    <row r="160" spans="1:12" ht="15" customHeight="1">
      <c r="A160" s="677"/>
      <c r="B160" s="802" t="s">
        <v>872</v>
      </c>
      <c r="C160" s="803">
        <v>1.47</v>
      </c>
      <c r="D160" s="804" t="s">
        <v>871</v>
      </c>
      <c r="E160" s="801">
        <v>450</v>
      </c>
      <c r="F160" s="805"/>
      <c r="G160" s="757">
        <f>ROUND(E160*C160,2)</f>
        <v>661.5</v>
      </c>
      <c r="H160" s="794"/>
      <c r="I160" s="799"/>
      <c r="J160" s="799"/>
      <c r="K160" s="789"/>
      <c r="L160" s="789"/>
    </row>
    <row r="161" spans="1:12" ht="15" customHeight="1">
      <c r="A161" s="677"/>
      <c r="B161" s="802" t="str">
        <f>$B$4</f>
        <v>Unit=Cum</v>
      </c>
      <c r="C161" s="803">
        <f>$F$4</f>
        <v>0</v>
      </c>
      <c r="D161" s="806"/>
      <c r="E161" s="807">
        <f>SUM(G158:G160)</f>
        <v>2615.1</v>
      </c>
      <c r="F161" s="753"/>
      <c r="G161" s="757">
        <f>ROUND(E161*C161,2)</f>
        <v>0</v>
      </c>
      <c r="H161" s="794"/>
      <c r="I161" s="799"/>
      <c r="J161" s="799"/>
      <c r="K161" s="789"/>
      <c r="L161" s="789"/>
    </row>
    <row r="162" spans="1:12" ht="15" customHeight="1">
      <c r="A162" s="677"/>
      <c r="B162" s="751" t="s">
        <v>160</v>
      </c>
      <c r="C162" s="752"/>
      <c r="D162" s="753"/>
      <c r="E162" s="758"/>
      <c r="F162" s="753"/>
      <c r="G162" s="752"/>
      <c r="H162" s="794"/>
      <c r="I162" s="799"/>
      <c r="J162" s="799"/>
      <c r="K162" s="789"/>
      <c r="L162" s="789"/>
    </row>
    <row r="163" spans="1:12" ht="15" customHeight="1">
      <c r="A163" s="677"/>
      <c r="B163" s="756" t="s">
        <v>873</v>
      </c>
      <c r="C163" s="752"/>
      <c r="D163" s="753"/>
      <c r="E163" s="758"/>
      <c r="F163" s="753"/>
      <c r="G163" s="752"/>
      <c r="H163" s="794"/>
      <c r="I163" s="799"/>
      <c r="J163" s="799"/>
      <c r="K163" s="789"/>
      <c r="L163" s="789"/>
    </row>
    <row r="164" spans="1:12" ht="15" customHeight="1">
      <c r="A164" s="677"/>
      <c r="B164" s="800" t="s">
        <v>881</v>
      </c>
      <c r="C164" s="808">
        <v>0.11</v>
      </c>
      <c r="D164" s="805" t="s">
        <v>16</v>
      </c>
      <c r="E164" s="809">
        <v>3655.12</v>
      </c>
      <c r="F164" s="805"/>
      <c r="G164" s="757">
        <f>ROUND(E164*C164,2)</f>
        <v>402.06</v>
      </c>
      <c r="H164" s="794"/>
      <c r="I164" s="799"/>
      <c r="J164" s="799"/>
      <c r="K164" s="789"/>
      <c r="L164" s="789"/>
    </row>
    <row r="165" spans="1:12" ht="15" customHeight="1">
      <c r="A165" s="677"/>
      <c r="B165" s="800" t="s">
        <v>875</v>
      </c>
      <c r="C165" s="808">
        <f>31.7/1000</f>
        <v>3.1699999999999999E-2</v>
      </c>
      <c r="D165" s="805" t="s">
        <v>876</v>
      </c>
      <c r="E165" s="810">
        <v>4300</v>
      </c>
      <c r="F165" s="805"/>
      <c r="G165" s="757">
        <f>ROUND(E165*C165,2)</f>
        <v>136.31</v>
      </c>
      <c r="H165" s="794"/>
      <c r="I165" s="799"/>
      <c r="J165" s="799"/>
      <c r="K165" s="789"/>
      <c r="L165" s="789"/>
    </row>
    <row r="166" spans="1:12" ht="15" customHeight="1">
      <c r="A166" s="677"/>
      <c r="B166" s="800" t="s">
        <v>877</v>
      </c>
      <c r="C166" s="808"/>
      <c r="D166" s="805"/>
      <c r="E166" s="810"/>
      <c r="F166" s="805"/>
      <c r="G166" s="757"/>
      <c r="H166" s="794"/>
      <c r="I166" s="799"/>
      <c r="J166" s="799"/>
      <c r="K166" s="789"/>
      <c r="L166" s="789"/>
    </row>
    <row r="167" spans="1:12" ht="15" customHeight="1">
      <c r="A167" s="677"/>
      <c r="B167" s="800" t="s">
        <v>874</v>
      </c>
      <c r="C167" s="808">
        <v>0.04</v>
      </c>
      <c r="D167" s="805" t="s">
        <v>16</v>
      </c>
      <c r="E167" s="809">
        <v>2417.2600000000002</v>
      </c>
      <c r="F167" s="805"/>
      <c r="G167" s="757">
        <f>ROUND(E167*C167,2)</f>
        <v>96.69</v>
      </c>
      <c r="H167" s="794"/>
      <c r="I167" s="799"/>
      <c r="J167" s="799"/>
      <c r="K167" s="789"/>
      <c r="L167" s="789"/>
    </row>
    <row r="168" spans="1:12" ht="15" customHeight="1">
      <c r="A168" s="677"/>
      <c r="B168" s="800" t="s">
        <v>875</v>
      </c>
      <c r="C168" s="808">
        <v>1.9199999999999998E-2</v>
      </c>
      <c r="D168" s="805" t="s">
        <v>876</v>
      </c>
      <c r="E168" s="810">
        <v>4300</v>
      </c>
      <c r="F168" s="805"/>
      <c r="G168" s="757">
        <f>ROUND(E168*C168,2)</f>
        <v>82.56</v>
      </c>
      <c r="H168" s="794"/>
      <c r="I168" s="799"/>
      <c r="J168" s="799"/>
      <c r="K168" s="789"/>
      <c r="L168" s="789"/>
    </row>
    <row r="169" spans="1:12" ht="15" customHeight="1">
      <c r="A169" s="677"/>
      <c r="B169" s="756"/>
      <c r="C169" s="757"/>
      <c r="D169" s="753"/>
      <c r="E169" s="758"/>
      <c r="F169" s="753"/>
      <c r="G169" s="761">
        <f>SUM(G158:G168)</f>
        <v>3332.72</v>
      </c>
      <c r="H169" s="755"/>
      <c r="I169" s="799"/>
      <c r="J169" s="799"/>
      <c r="K169" s="789"/>
      <c r="L169" s="789"/>
    </row>
    <row r="170" spans="1:12" ht="15" customHeight="1">
      <c r="A170" s="677"/>
      <c r="B170" s="802" t="str">
        <f>$B$5</f>
        <v>Taking output=240 Cum</v>
      </c>
      <c r="C170" s="811">
        <f>$F$5</f>
        <v>0</v>
      </c>
      <c r="D170" s="812"/>
      <c r="E170" s="758">
        <f>G169</f>
        <v>3332.72</v>
      </c>
      <c r="F170" s="812"/>
      <c r="G170" s="757">
        <f>ROUND(E170*C170,2)</f>
        <v>0</v>
      </c>
      <c r="H170" s="813"/>
      <c r="I170" s="799"/>
      <c r="J170" s="799"/>
      <c r="K170" s="789"/>
      <c r="L170" s="789"/>
    </row>
    <row r="171" spans="1:12" ht="15" customHeight="1">
      <c r="A171" s="677"/>
      <c r="B171" s="814" t="s">
        <v>878</v>
      </c>
      <c r="C171" s="815"/>
      <c r="D171" s="812"/>
      <c r="E171" s="816"/>
      <c r="F171" s="812"/>
      <c r="G171" s="139">
        <f>SUM(G169:G170)</f>
        <v>3332.72</v>
      </c>
      <c r="H171" s="755"/>
      <c r="I171" s="799"/>
      <c r="J171" s="799"/>
      <c r="K171" s="789"/>
      <c r="L171" s="789"/>
    </row>
    <row r="172" spans="1:12" ht="15" customHeight="1">
      <c r="A172" s="677"/>
      <c r="B172" s="814" t="s">
        <v>879</v>
      </c>
      <c r="C172" s="815"/>
      <c r="D172" s="812"/>
      <c r="E172" s="816"/>
      <c r="F172" s="812"/>
      <c r="G172" s="139">
        <f>G171/10</f>
        <v>333.27199999999999</v>
      </c>
      <c r="H172" s="755"/>
      <c r="I172" s="799"/>
      <c r="J172" s="799"/>
      <c r="K172" s="789"/>
      <c r="L172" s="789"/>
    </row>
    <row r="173" spans="1:12" ht="15" customHeight="1">
      <c r="A173" s="677"/>
      <c r="B173" s="817" t="s">
        <v>866</v>
      </c>
      <c r="C173" s="815"/>
      <c r="D173" s="812"/>
      <c r="E173" s="816"/>
      <c r="F173" s="812"/>
      <c r="G173" s="781">
        <f>ROUNDUP(SUM(G172:G172),1)-SUM(G172:G172)</f>
        <v>2.8000000000020009E-2</v>
      </c>
      <c r="H173" s="813"/>
      <c r="I173" s="799"/>
      <c r="J173" s="799"/>
      <c r="K173" s="789"/>
      <c r="L173" s="789"/>
    </row>
    <row r="174" spans="1:12" ht="15" customHeight="1">
      <c r="A174" s="677"/>
      <c r="B174" s="815"/>
      <c r="C174" s="815"/>
      <c r="D174" s="815"/>
      <c r="E174" s="816"/>
      <c r="F174" s="815"/>
      <c r="G174" s="139">
        <f>ROUND(SUM(G172:G173),2)</f>
        <v>333.3</v>
      </c>
      <c r="H174" s="755" t="s">
        <v>880</v>
      </c>
      <c r="I174" s="799"/>
      <c r="J174" s="799"/>
      <c r="K174" s="789"/>
      <c r="L174" s="789"/>
    </row>
    <row r="175" spans="1:12" ht="15" customHeight="1">
      <c r="A175" s="677"/>
      <c r="B175" s="799" t="s">
        <v>882</v>
      </c>
      <c r="C175" s="799">
        <v>0.13614999999999999</v>
      </c>
      <c r="D175" s="799"/>
      <c r="E175" s="799"/>
      <c r="F175" s="799"/>
      <c r="G175" s="818">
        <f>G174*0.13615</f>
        <v>45.378794999999997</v>
      </c>
      <c r="H175" s="799"/>
      <c r="I175" s="799"/>
      <c r="J175" s="799"/>
      <c r="K175" s="789"/>
      <c r="L175" s="789"/>
    </row>
    <row r="176" spans="1:12" ht="15" customHeight="1">
      <c r="A176" s="677"/>
      <c r="B176" s="799"/>
      <c r="C176" s="799"/>
      <c r="D176" s="799"/>
      <c r="E176" s="799"/>
      <c r="F176" s="799"/>
      <c r="G176" s="818">
        <f>SUM(G174:G175)</f>
        <v>378.67879500000004</v>
      </c>
      <c r="H176" s="799"/>
      <c r="I176" s="799"/>
      <c r="J176" s="799"/>
      <c r="K176" s="789"/>
      <c r="L176" s="789"/>
    </row>
    <row r="177" spans="1:12" ht="15" customHeight="1">
      <c r="A177" s="677"/>
      <c r="B177" s="799" t="s">
        <v>883</v>
      </c>
      <c r="C177" s="799"/>
      <c r="D177" s="799"/>
      <c r="E177" s="799"/>
      <c r="F177" s="799"/>
      <c r="G177" s="818">
        <f>G176*0.1601</f>
        <v>60.626475079500004</v>
      </c>
      <c r="H177" s="799"/>
      <c r="I177" s="799"/>
      <c r="J177" s="799"/>
      <c r="K177" s="789"/>
      <c r="L177" s="789"/>
    </row>
    <row r="178" spans="1:12" ht="15" customHeight="1">
      <c r="A178" s="677"/>
      <c r="B178" s="795"/>
      <c r="C178" s="795"/>
      <c r="D178" s="795"/>
      <c r="E178" s="795"/>
      <c r="F178" s="795"/>
      <c r="G178" s="819">
        <f>G176-G177</f>
        <v>318.05231992050005</v>
      </c>
      <c r="H178" s="755" t="s">
        <v>880</v>
      </c>
      <c r="I178" s="795"/>
      <c r="J178" s="795"/>
      <c r="K178" s="789"/>
      <c r="L178" s="789"/>
    </row>
    <row r="179" spans="1:12" ht="92.25" customHeight="1">
      <c r="A179" s="700">
        <v>32</v>
      </c>
      <c r="B179" s="820" t="s">
        <v>83</v>
      </c>
      <c r="C179" s="821"/>
      <c r="D179" s="821"/>
      <c r="E179" s="821"/>
      <c r="F179" s="821"/>
      <c r="G179" s="821"/>
      <c r="H179" s="821"/>
      <c r="I179" s="821"/>
      <c r="J179" s="822"/>
      <c r="K179" s="789"/>
      <c r="L179" s="789"/>
    </row>
    <row r="180" spans="1:12" ht="15" customHeight="1">
      <c r="A180" s="700"/>
      <c r="B180" s="823"/>
      <c r="C180" s="824" t="s">
        <v>143</v>
      </c>
      <c r="D180" s="824"/>
      <c r="E180" s="824"/>
      <c r="F180" s="824"/>
      <c r="G180" s="824"/>
      <c r="H180" s="824"/>
      <c r="I180" s="795"/>
      <c r="J180" s="795"/>
      <c r="K180" s="789"/>
      <c r="L180" s="789"/>
    </row>
    <row r="181" spans="1:12" ht="15" customHeight="1">
      <c r="A181" s="700"/>
      <c r="B181" s="825" t="s">
        <v>144</v>
      </c>
      <c r="C181" s="826"/>
      <c r="D181" s="826"/>
      <c r="E181" s="826"/>
      <c r="F181" s="826"/>
      <c r="G181" s="826"/>
      <c r="H181" s="826"/>
      <c r="I181" s="795"/>
      <c r="J181" s="795"/>
      <c r="K181" s="789"/>
      <c r="L181" s="789"/>
    </row>
    <row r="182" spans="1:12" ht="15" customHeight="1">
      <c r="A182" s="700"/>
      <c r="B182" s="823" t="s">
        <v>145</v>
      </c>
      <c r="C182" s="827">
        <v>3.1300000000000001E-2</v>
      </c>
      <c r="D182" s="704" t="s">
        <v>16</v>
      </c>
      <c r="E182" s="704">
        <v>80689</v>
      </c>
      <c r="F182" s="828">
        <v>1</v>
      </c>
      <c r="G182" s="704" t="s">
        <v>16</v>
      </c>
      <c r="H182" s="704">
        <f t="shared" ref="H182:H193" si="2">E182*C182</f>
        <v>2525.5657000000001</v>
      </c>
      <c r="I182" s="829" t="s">
        <v>934</v>
      </c>
      <c r="J182" s="830"/>
      <c r="K182" s="789"/>
      <c r="L182" s="789"/>
    </row>
    <row r="183" spans="1:12" ht="15" customHeight="1">
      <c r="A183" s="700"/>
      <c r="B183" s="823" t="s">
        <v>146</v>
      </c>
      <c r="C183" s="827">
        <v>7.4000000000000003E-3</v>
      </c>
      <c r="D183" s="704" t="s">
        <v>16</v>
      </c>
      <c r="E183" s="704">
        <v>72620</v>
      </c>
      <c r="F183" s="828">
        <v>1</v>
      </c>
      <c r="G183" s="704" t="s">
        <v>16</v>
      </c>
      <c r="H183" s="704">
        <f t="shared" si="2"/>
        <v>537.38800000000003</v>
      </c>
      <c r="I183" s="795"/>
      <c r="J183" s="795"/>
      <c r="K183" s="789"/>
      <c r="L183" s="789"/>
    </row>
    <row r="184" spans="1:12" ht="40.15" customHeight="1">
      <c r="A184" s="700"/>
      <c r="B184" s="701" t="s">
        <v>147</v>
      </c>
      <c r="C184" s="831">
        <v>1.9350000000000001</v>
      </c>
      <c r="D184" s="704" t="s">
        <v>56</v>
      </c>
      <c r="E184" s="704">
        <v>2046</v>
      </c>
      <c r="F184" s="828">
        <v>1</v>
      </c>
      <c r="G184" s="704" t="s">
        <v>56</v>
      </c>
      <c r="H184" s="704">
        <f t="shared" si="2"/>
        <v>3959.01</v>
      </c>
      <c r="I184" s="795"/>
      <c r="J184" s="795"/>
      <c r="K184" s="789"/>
      <c r="L184" s="789"/>
    </row>
    <row r="185" spans="1:12" ht="17.45" customHeight="1">
      <c r="A185" s="700"/>
      <c r="B185" s="823" t="s">
        <v>148</v>
      </c>
      <c r="C185" s="704">
        <v>6</v>
      </c>
      <c r="D185" s="704" t="s">
        <v>2</v>
      </c>
      <c r="E185" s="704">
        <v>15</v>
      </c>
      <c r="F185" s="828">
        <v>1</v>
      </c>
      <c r="G185" s="704" t="s">
        <v>2</v>
      </c>
      <c r="H185" s="704">
        <f t="shared" si="2"/>
        <v>90</v>
      </c>
      <c r="I185" s="795"/>
      <c r="J185" s="795"/>
      <c r="K185" s="789"/>
      <c r="L185" s="789"/>
    </row>
    <row r="186" spans="1:12" ht="30" customHeight="1">
      <c r="A186" s="700"/>
      <c r="B186" s="702" t="s">
        <v>149</v>
      </c>
      <c r="C186" s="704">
        <v>3</v>
      </c>
      <c r="D186" s="704" t="s">
        <v>2</v>
      </c>
      <c r="E186" s="704">
        <v>40</v>
      </c>
      <c r="F186" s="828">
        <v>1</v>
      </c>
      <c r="G186" s="704" t="s">
        <v>2</v>
      </c>
      <c r="H186" s="704">
        <f t="shared" si="2"/>
        <v>120</v>
      </c>
      <c r="I186" s="795"/>
      <c r="J186" s="795"/>
      <c r="K186" s="789"/>
      <c r="L186" s="789"/>
    </row>
    <row r="187" spans="1:12" ht="27.6" customHeight="1">
      <c r="A187" s="700"/>
      <c r="B187" s="702" t="s">
        <v>150</v>
      </c>
      <c r="C187" s="704">
        <v>1</v>
      </c>
      <c r="D187" s="704" t="s">
        <v>2</v>
      </c>
      <c r="E187" s="704">
        <v>164</v>
      </c>
      <c r="F187" s="828">
        <v>1</v>
      </c>
      <c r="G187" s="704" t="s">
        <v>2</v>
      </c>
      <c r="H187" s="704">
        <f t="shared" si="2"/>
        <v>164</v>
      </c>
      <c r="I187" s="795"/>
      <c r="J187" s="795"/>
      <c r="K187" s="789"/>
      <c r="L187" s="789"/>
    </row>
    <row r="188" spans="1:12" ht="25.9" customHeight="1">
      <c r="A188" s="700"/>
      <c r="B188" s="702" t="s">
        <v>151</v>
      </c>
      <c r="C188" s="704">
        <v>2</v>
      </c>
      <c r="D188" s="704" t="s">
        <v>2</v>
      </c>
      <c r="E188" s="704">
        <v>68</v>
      </c>
      <c r="F188" s="828">
        <v>1</v>
      </c>
      <c r="G188" s="704" t="s">
        <v>2</v>
      </c>
      <c r="H188" s="704">
        <f t="shared" si="2"/>
        <v>136</v>
      </c>
      <c r="I188" s="795"/>
      <c r="J188" s="795"/>
      <c r="K188" s="789"/>
      <c r="L188" s="789"/>
    </row>
    <row r="189" spans="1:12" ht="15" customHeight="1">
      <c r="A189" s="700"/>
      <c r="B189" s="702" t="s">
        <v>152</v>
      </c>
      <c r="C189" s="704">
        <v>2</v>
      </c>
      <c r="D189" s="704" t="s">
        <v>2</v>
      </c>
      <c r="E189" s="704">
        <v>45</v>
      </c>
      <c r="F189" s="828">
        <v>1</v>
      </c>
      <c r="G189" s="704" t="s">
        <v>2</v>
      </c>
      <c r="H189" s="704">
        <f t="shared" si="2"/>
        <v>90</v>
      </c>
      <c r="I189" s="795"/>
      <c r="J189" s="795"/>
      <c r="K189" s="789"/>
      <c r="L189" s="789"/>
    </row>
    <row r="190" spans="1:12" ht="15" customHeight="1">
      <c r="A190" s="700"/>
      <c r="B190" s="702" t="s">
        <v>153</v>
      </c>
      <c r="C190" s="704">
        <v>1</v>
      </c>
      <c r="D190" s="704" t="s">
        <v>2</v>
      </c>
      <c r="E190" s="704">
        <v>49</v>
      </c>
      <c r="F190" s="828">
        <v>1</v>
      </c>
      <c r="G190" s="704" t="s">
        <v>2</v>
      </c>
      <c r="H190" s="704">
        <f t="shared" si="2"/>
        <v>49</v>
      </c>
      <c r="I190" s="795"/>
      <c r="J190" s="795"/>
      <c r="K190" s="789"/>
      <c r="L190" s="789"/>
    </row>
    <row r="191" spans="1:12" ht="15" customHeight="1">
      <c r="A191" s="700"/>
      <c r="B191" s="823" t="s">
        <v>154</v>
      </c>
      <c r="C191" s="704">
        <v>1</v>
      </c>
      <c r="D191" s="704" t="s">
        <v>2</v>
      </c>
      <c r="E191" s="704">
        <v>10</v>
      </c>
      <c r="F191" s="828">
        <v>1</v>
      </c>
      <c r="G191" s="704" t="s">
        <v>2</v>
      </c>
      <c r="H191" s="704">
        <f t="shared" si="2"/>
        <v>10</v>
      </c>
      <c r="I191" s="795"/>
      <c r="J191" s="795"/>
      <c r="K191" s="789"/>
      <c r="L191" s="789"/>
    </row>
    <row r="192" spans="1:12" ht="15" customHeight="1">
      <c r="A192" s="700"/>
      <c r="B192" s="823" t="s">
        <v>155</v>
      </c>
      <c r="C192" s="704">
        <v>0.76</v>
      </c>
      <c r="D192" s="704" t="s">
        <v>136</v>
      </c>
      <c r="E192" s="704">
        <v>450</v>
      </c>
      <c r="F192" s="828">
        <v>1</v>
      </c>
      <c r="G192" s="704" t="s">
        <v>2</v>
      </c>
      <c r="H192" s="704">
        <f t="shared" si="2"/>
        <v>342</v>
      </c>
      <c r="I192" s="795"/>
      <c r="J192" s="795"/>
      <c r="K192" s="789"/>
      <c r="L192" s="789"/>
    </row>
    <row r="193" spans="1:12" ht="15" customHeight="1">
      <c r="A193" s="700"/>
      <c r="B193" s="823" t="s">
        <v>156</v>
      </c>
      <c r="C193" s="704">
        <v>0.38</v>
      </c>
      <c r="D193" s="704" t="s">
        <v>136</v>
      </c>
      <c r="E193" s="704">
        <v>425</v>
      </c>
      <c r="F193" s="828">
        <v>1</v>
      </c>
      <c r="G193" s="704" t="s">
        <v>2</v>
      </c>
      <c r="H193" s="704">
        <f t="shared" si="2"/>
        <v>161.5</v>
      </c>
      <c r="I193" s="795"/>
      <c r="J193" s="795"/>
      <c r="K193" s="789"/>
      <c r="L193" s="789"/>
    </row>
    <row r="194" spans="1:12" ht="15" customHeight="1">
      <c r="A194" s="700"/>
      <c r="B194" s="823"/>
      <c r="C194" s="704"/>
      <c r="D194" s="704"/>
      <c r="E194" s="704"/>
      <c r="F194" s="828"/>
      <c r="G194" s="704"/>
      <c r="H194" s="704">
        <f>SUM(H182:H193)</f>
        <v>8184.4637000000002</v>
      </c>
      <c r="I194" s="795"/>
      <c r="J194" s="795"/>
      <c r="K194" s="789"/>
      <c r="L194" s="789"/>
    </row>
    <row r="195" spans="1:12" ht="50.25" customHeight="1">
      <c r="A195" s="700"/>
      <c r="B195" s="832" t="s">
        <v>157</v>
      </c>
      <c r="C195" s="700">
        <v>1.9350000000000001</v>
      </c>
      <c r="D195" s="700" t="s">
        <v>56</v>
      </c>
      <c r="E195" s="703">
        <v>426</v>
      </c>
      <c r="F195" s="700">
        <v>1</v>
      </c>
      <c r="G195" s="700" t="s">
        <v>56</v>
      </c>
      <c r="H195" s="704">
        <f>E195*C195</f>
        <v>824.31000000000006</v>
      </c>
      <c r="I195" s="795"/>
      <c r="J195" s="795"/>
      <c r="K195" s="789"/>
      <c r="L195" s="789"/>
    </row>
    <row r="196" spans="1:12" ht="15" customHeight="1">
      <c r="A196" s="700"/>
      <c r="B196" s="823"/>
      <c r="C196" s="823"/>
      <c r="D196" s="823"/>
      <c r="E196" s="823"/>
      <c r="F196" s="823"/>
      <c r="G196" s="823"/>
      <c r="H196" s="704">
        <f>SUM(H194:H195)</f>
        <v>9008.7736999999997</v>
      </c>
      <c r="I196" s="795"/>
      <c r="J196" s="795"/>
      <c r="K196" s="789"/>
      <c r="L196" s="789"/>
    </row>
    <row r="197" spans="1:12" ht="15" customHeight="1">
      <c r="A197" s="700"/>
      <c r="B197" s="823" t="s">
        <v>106</v>
      </c>
      <c r="C197" s="823"/>
      <c r="D197" s="823"/>
      <c r="E197" s="833">
        <v>0.13614999999999999</v>
      </c>
      <c r="F197" s="823"/>
      <c r="G197" s="823"/>
      <c r="H197" s="704">
        <f>H196*0.13615</f>
        <v>1226.5445392549998</v>
      </c>
      <c r="I197" s="795"/>
      <c r="J197" s="795"/>
      <c r="K197" s="789"/>
      <c r="L197" s="789"/>
    </row>
    <row r="198" spans="1:12" ht="15" customHeight="1">
      <c r="A198" s="700"/>
      <c r="B198" s="823" t="s">
        <v>158</v>
      </c>
      <c r="C198" s="823"/>
      <c r="D198" s="823"/>
      <c r="E198" s="833"/>
      <c r="F198" s="823"/>
      <c r="G198" s="823"/>
      <c r="H198" s="704">
        <f>SUM(H196:H197)</f>
        <v>10235.318239254999</v>
      </c>
      <c r="I198" s="795"/>
      <c r="J198" s="795"/>
      <c r="K198" s="789"/>
      <c r="L198" s="789"/>
    </row>
    <row r="199" spans="1:12" ht="15" customHeight="1">
      <c r="A199" s="705"/>
      <c r="B199" s="834" t="s">
        <v>107</v>
      </c>
      <c r="C199" s="835">
        <f>H198/1.94</f>
        <v>5275.9372367293809</v>
      </c>
      <c r="D199" s="836"/>
      <c r="E199" s="836"/>
      <c r="F199" s="836"/>
      <c r="G199" s="836"/>
      <c r="H199" s="837"/>
      <c r="I199" s="795"/>
      <c r="J199" s="795"/>
      <c r="K199" s="789"/>
      <c r="L199" s="789"/>
    </row>
    <row r="200" spans="1:12" ht="15" customHeight="1">
      <c r="A200" s="700"/>
      <c r="B200" s="823" t="s">
        <v>775</v>
      </c>
      <c r="C200" s="823"/>
      <c r="D200" s="823"/>
      <c r="E200" s="823"/>
      <c r="F200" s="823"/>
      <c r="G200" s="823"/>
      <c r="H200" s="703">
        <f>C199*0.1601</f>
        <v>844.67755160037382</v>
      </c>
      <c r="I200" s="795"/>
      <c r="J200" s="795"/>
      <c r="K200" s="789"/>
      <c r="L200" s="789"/>
    </row>
    <row r="201" spans="1:12" ht="15" customHeight="1">
      <c r="A201" s="700"/>
      <c r="B201" s="823"/>
      <c r="C201" s="823"/>
      <c r="D201" s="823"/>
      <c r="E201" s="823"/>
      <c r="F201" s="823"/>
      <c r="G201" s="823"/>
      <c r="H201" s="838">
        <f>C199-H200</f>
        <v>4431.2596851290073</v>
      </c>
      <c r="I201" s="839" t="s">
        <v>56</v>
      </c>
      <c r="J201" s="795"/>
      <c r="K201" s="789"/>
      <c r="L201" s="789"/>
    </row>
    <row r="202" spans="1:12" ht="91.5" customHeight="1">
      <c r="A202" s="706">
        <v>33</v>
      </c>
      <c r="B202" s="820" t="s">
        <v>86</v>
      </c>
      <c r="C202" s="821"/>
      <c r="D202" s="821"/>
      <c r="E202" s="821"/>
      <c r="F202" s="821"/>
      <c r="G202" s="821"/>
      <c r="H202" s="822"/>
      <c r="I202" s="795"/>
      <c r="J202" s="795"/>
      <c r="K202" s="789"/>
      <c r="L202" s="789"/>
    </row>
    <row r="203" spans="1:12" ht="15" customHeight="1">
      <c r="A203" s="706"/>
      <c r="B203" s="840"/>
      <c r="C203" s="841"/>
      <c r="D203" s="842" t="s">
        <v>159</v>
      </c>
      <c r="E203" s="842"/>
      <c r="F203" s="841"/>
      <c r="G203" s="841"/>
      <c r="H203" s="843"/>
      <c r="I203" s="829" t="s">
        <v>934</v>
      </c>
      <c r="J203" s="830"/>
      <c r="K203" s="789"/>
      <c r="L203" s="789"/>
    </row>
    <row r="204" spans="1:12" ht="15" customHeight="1">
      <c r="A204" s="706"/>
      <c r="B204" s="844" t="s">
        <v>160</v>
      </c>
      <c r="C204" s="841"/>
      <c r="D204" s="841"/>
      <c r="E204" s="841"/>
      <c r="F204" s="841"/>
      <c r="G204" s="841"/>
      <c r="H204" s="843"/>
      <c r="I204" s="795"/>
      <c r="J204" s="795"/>
      <c r="K204" s="789"/>
      <c r="L204" s="789"/>
    </row>
    <row r="205" spans="1:12" ht="15" customHeight="1">
      <c r="A205" s="706"/>
      <c r="B205" s="707"/>
      <c r="C205" s="708"/>
      <c r="D205" s="708"/>
      <c r="E205" s="708"/>
      <c r="F205" s="708"/>
      <c r="G205" s="708"/>
      <c r="H205" s="709"/>
      <c r="I205" s="795"/>
      <c r="J205" s="795"/>
      <c r="K205" s="789"/>
      <c r="L205" s="789"/>
    </row>
    <row r="206" spans="1:12" ht="15" customHeight="1">
      <c r="A206" s="706"/>
      <c r="B206" s="823" t="s">
        <v>161</v>
      </c>
      <c r="C206" s="845">
        <v>10.5</v>
      </c>
      <c r="D206" s="823" t="s">
        <v>162</v>
      </c>
      <c r="E206" s="845">
        <v>300</v>
      </c>
      <c r="F206" s="823">
        <v>1</v>
      </c>
      <c r="G206" s="823" t="s">
        <v>56</v>
      </c>
      <c r="H206" s="845">
        <f>E206*C206</f>
        <v>3150</v>
      </c>
      <c r="I206" s="795"/>
      <c r="J206" s="795"/>
      <c r="K206" s="789"/>
      <c r="L206" s="789"/>
    </row>
    <row r="207" spans="1:12" ht="15" customHeight="1">
      <c r="A207" s="706"/>
      <c r="B207" s="823" t="s">
        <v>163</v>
      </c>
      <c r="C207" s="845">
        <v>21.6</v>
      </c>
      <c r="D207" s="823" t="s">
        <v>164</v>
      </c>
      <c r="E207" s="845">
        <v>4300</v>
      </c>
      <c r="F207" s="823">
        <v>1</v>
      </c>
      <c r="G207" s="823" t="s">
        <v>21</v>
      </c>
      <c r="H207" s="845">
        <f>(E207*C207)/1000</f>
        <v>92.88</v>
      </c>
      <c r="I207" s="795"/>
      <c r="J207" s="795"/>
      <c r="K207" s="789"/>
      <c r="L207" s="789"/>
    </row>
    <row r="208" spans="1:12" ht="15" customHeight="1">
      <c r="A208" s="706"/>
      <c r="B208" s="823" t="s">
        <v>165</v>
      </c>
      <c r="C208" s="845">
        <v>33</v>
      </c>
      <c r="D208" s="823" t="s">
        <v>164</v>
      </c>
      <c r="E208" s="845">
        <v>4300</v>
      </c>
      <c r="F208" s="823">
        <v>1</v>
      </c>
      <c r="G208" s="823" t="s">
        <v>21</v>
      </c>
      <c r="H208" s="845">
        <f>(E208*C208)/1000</f>
        <v>141.9</v>
      </c>
      <c r="I208" s="795"/>
      <c r="J208" s="795"/>
      <c r="K208" s="789"/>
      <c r="L208" s="789"/>
    </row>
    <row r="209" spans="1:12" ht="15" customHeight="1">
      <c r="A209" s="706"/>
      <c r="B209" s="846" t="s">
        <v>166</v>
      </c>
      <c r="C209" s="845">
        <v>6</v>
      </c>
      <c r="D209" s="823" t="s">
        <v>164</v>
      </c>
      <c r="E209" s="845">
        <v>30</v>
      </c>
      <c r="F209" s="823">
        <v>1</v>
      </c>
      <c r="G209" s="823" t="s">
        <v>139</v>
      </c>
      <c r="H209" s="845">
        <f t="shared" ref="H209:H214" si="3">E209*C209</f>
        <v>180</v>
      </c>
      <c r="I209" s="795"/>
      <c r="J209" s="795"/>
      <c r="K209" s="789"/>
      <c r="L209" s="789"/>
    </row>
    <row r="210" spans="1:12" ht="15" customHeight="1">
      <c r="A210" s="706"/>
      <c r="B210" s="823" t="s">
        <v>167</v>
      </c>
      <c r="C210" s="845">
        <v>0.14000000000000001</v>
      </c>
      <c r="D210" s="823" t="s">
        <v>16</v>
      </c>
      <c r="E210" s="845">
        <v>2417.1999999999998</v>
      </c>
      <c r="F210" s="823">
        <v>1</v>
      </c>
      <c r="G210" s="823" t="s">
        <v>16</v>
      </c>
      <c r="H210" s="845">
        <f t="shared" si="3"/>
        <v>338.40800000000002</v>
      </c>
      <c r="I210" s="795"/>
      <c r="J210" s="795"/>
      <c r="K210" s="789"/>
      <c r="L210" s="789"/>
    </row>
    <row r="211" spans="1:12" ht="15" customHeight="1">
      <c r="A211" s="706"/>
      <c r="B211" s="823" t="s">
        <v>168</v>
      </c>
      <c r="C211" s="845">
        <v>0.96</v>
      </c>
      <c r="D211" s="823" t="s">
        <v>136</v>
      </c>
      <c r="E211" s="845">
        <v>470</v>
      </c>
      <c r="F211" s="823">
        <v>1</v>
      </c>
      <c r="G211" s="823" t="s">
        <v>2</v>
      </c>
      <c r="H211" s="845">
        <f t="shared" si="3"/>
        <v>451.2</v>
      </c>
      <c r="I211" s="795"/>
      <c r="J211" s="795"/>
      <c r="K211" s="789"/>
      <c r="L211" s="789"/>
    </row>
    <row r="212" spans="1:12" ht="15" customHeight="1">
      <c r="A212" s="706"/>
      <c r="B212" s="823" t="s">
        <v>169</v>
      </c>
      <c r="C212" s="845">
        <v>2.2400000000000002</v>
      </c>
      <c r="D212" s="823" t="s">
        <v>136</v>
      </c>
      <c r="E212" s="845">
        <v>450</v>
      </c>
      <c r="F212" s="823">
        <v>1</v>
      </c>
      <c r="G212" s="823" t="s">
        <v>2</v>
      </c>
      <c r="H212" s="845">
        <f t="shared" si="3"/>
        <v>1008.0000000000001</v>
      </c>
      <c r="I212" s="795"/>
      <c r="J212" s="795"/>
      <c r="K212" s="789"/>
      <c r="L212" s="789"/>
    </row>
    <row r="213" spans="1:12" ht="15" customHeight="1">
      <c r="A213" s="706"/>
      <c r="B213" s="823" t="s">
        <v>156</v>
      </c>
      <c r="C213" s="845">
        <v>3.3</v>
      </c>
      <c r="D213" s="823" t="s">
        <v>136</v>
      </c>
      <c r="E213" s="845">
        <v>425</v>
      </c>
      <c r="F213" s="823">
        <v>1</v>
      </c>
      <c r="G213" s="823" t="s">
        <v>2</v>
      </c>
      <c r="H213" s="845">
        <f t="shared" si="3"/>
        <v>1402.5</v>
      </c>
      <c r="I213" s="795"/>
      <c r="J213" s="795"/>
      <c r="K213" s="789"/>
      <c r="L213" s="789"/>
    </row>
    <row r="214" spans="1:12" ht="15" customHeight="1">
      <c r="A214" s="706"/>
      <c r="B214" s="823" t="s">
        <v>170</v>
      </c>
      <c r="C214" s="845">
        <v>0.25</v>
      </c>
      <c r="D214" s="823"/>
      <c r="E214" s="845">
        <f>H211+H212+H213</f>
        <v>2861.7</v>
      </c>
      <c r="F214" s="823"/>
      <c r="G214" s="823"/>
      <c r="H214" s="845">
        <f t="shared" si="3"/>
        <v>715.42499999999995</v>
      </c>
      <c r="I214" s="795"/>
      <c r="J214" s="795"/>
      <c r="K214" s="789"/>
      <c r="L214" s="789"/>
    </row>
    <row r="215" spans="1:12" ht="15" customHeight="1">
      <c r="A215" s="706"/>
      <c r="B215" s="823" t="s">
        <v>171</v>
      </c>
      <c r="C215" s="847"/>
      <c r="D215" s="823"/>
      <c r="E215" s="845">
        <v>73</v>
      </c>
      <c r="F215" s="823"/>
      <c r="G215" s="823"/>
      <c r="H215" s="845">
        <f>E215*0.01</f>
        <v>0.73</v>
      </c>
      <c r="I215" s="795"/>
      <c r="J215" s="795"/>
      <c r="K215" s="789"/>
      <c r="L215" s="789"/>
    </row>
    <row r="216" spans="1:12" ht="15" customHeight="1">
      <c r="A216" s="706"/>
      <c r="B216" s="823"/>
      <c r="C216" s="823"/>
      <c r="D216" s="823"/>
      <c r="E216" s="823"/>
      <c r="F216" s="823"/>
      <c r="G216" s="823"/>
      <c r="H216" s="845">
        <f>SUM(H206:H215)</f>
        <v>7481.0429999999997</v>
      </c>
      <c r="I216" s="795"/>
      <c r="J216" s="795"/>
      <c r="K216" s="789"/>
      <c r="L216" s="789"/>
    </row>
    <row r="217" spans="1:12" ht="15" customHeight="1">
      <c r="A217" s="706"/>
      <c r="B217" s="823" t="s">
        <v>106</v>
      </c>
      <c r="C217" s="823"/>
      <c r="D217" s="823"/>
      <c r="E217" s="848">
        <v>0.13614999999999999</v>
      </c>
      <c r="F217" s="823"/>
      <c r="G217" s="823"/>
      <c r="H217" s="845">
        <f>H216*0.13615</f>
        <v>1018.5440044499999</v>
      </c>
      <c r="I217" s="795"/>
      <c r="J217" s="795"/>
      <c r="K217" s="789"/>
      <c r="L217" s="789"/>
    </row>
    <row r="218" spans="1:12" ht="15" customHeight="1">
      <c r="A218" s="706"/>
      <c r="B218" s="849" t="s">
        <v>172</v>
      </c>
      <c r="C218" s="850">
        <f>H216+H217</f>
        <v>8499.5870044499989</v>
      </c>
      <c r="D218" s="851"/>
      <c r="E218" s="851"/>
      <c r="F218" s="851"/>
      <c r="G218" s="851"/>
      <c r="H218" s="852"/>
      <c r="I218" s="795"/>
      <c r="J218" s="795"/>
      <c r="K218" s="789"/>
      <c r="L218" s="789"/>
    </row>
    <row r="219" spans="1:12" ht="15" customHeight="1">
      <c r="A219" s="705"/>
      <c r="B219" s="853" t="s">
        <v>174</v>
      </c>
      <c r="C219" s="835">
        <f>C218/10</f>
        <v>849.95870044499986</v>
      </c>
      <c r="D219" s="836"/>
      <c r="E219" s="836"/>
      <c r="F219" s="836"/>
      <c r="G219" s="836"/>
      <c r="H219" s="837"/>
      <c r="I219" s="795"/>
      <c r="J219" s="795"/>
      <c r="K219" s="789"/>
      <c r="L219" s="789"/>
    </row>
    <row r="220" spans="1:12" ht="15" customHeight="1">
      <c r="B220" s="823" t="s">
        <v>775</v>
      </c>
      <c r="C220" s="823"/>
      <c r="D220" s="823"/>
      <c r="E220" s="823"/>
      <c r="F220" s="823"/>
      <c r="G220" s="823"/>
      <c r="H220" s="703">
        <f>C219*0.1601</f>
        <v>136.07838794124447</v>
      </c>
      <c r="I220" s="795"/>
      <c r="J220" s="795"/>
      <c r="K220" s="789"/>
      <c r="L220" s="789"/>
    </row>
    <row r="221" spans="1:12" ht="15" customHeight="1">
      <c r="A221" s="677"/>
      <c r="B221" s="823"/>
      <c r="C221" s="823"/>
      <c r="D221" s="823"/>
      <c r="E221" s="823"/>
      <c r="F221" s="823"/>
      <c r="G221" s="823"/>
      <c r="H221" s="838">
        <f>C219-H220</f>
        <v>713.88031250375536</v>
      </c>
      <c r="I221" s="839" t="s">
        <v>56</v>
      </c>
      <c r="J221" s="795"/>
      <c r="K221" s="789"/>
      <c r="L221" s="789"/>
    </row>
    <row r="222" spans="1:12" ht="75" customHeight="1">
      <c r="A222" s="677">
        <v>34</v>
      </c>
      <c r="B222" s="743" t="s">
        <v>688</v>
      </c>
      <c r="C222" s="743"/>
      <c r="D222" s="743"/>
      <c r="E222" s="743"/>
      <c r="F222" s="743"/>
      <c r="G222" s="743"/>
      <c r="H222" s="743"/>
      <c r="I222" s="743"/>
      <c r="J222" s="743"/>
      <c r="K222" s="789"/>
      <c r="L222" s="789"/>
    </row>
    <row r="223" spans="1:12" ht="15" customHeight="1">
      <c r="A223" s="677"/>
      <c r="B223" s="710" t="s">
        <v>884</v>
      </c>
      <c r="C223" s="710"/>
      <c r="D223" s="710"/>
      <c r="E223" s="711" t="s">
        <v>891</v>
      </c>
      <c r="F223" s="712"/>
      <c r="G223" s="713"/>
      <c r="H223" s="710"/>
      <c r="I223" s="744"/>
      <c r="J223" s="744"/>
      <c r="K223" s="789"/>
      <c r="L223" s="789"/>
    </row>
    <row r="224" spans="1:12" ht="15" customHeight="1">
      <c r="A224" s="677"/>
      <c r="B224" s="688" t="s">
        <v>160</v>
      </c>
      <c r="C224" s="710"/>
      <c r="D224" s="710"/>
      <c r="E224" s="710"/>
      <c r="F224" s="710"/>
      <c r="G224" s="710"/>
      <c r="H224" s="710"/>
      <c r="I224" s="744"/>
      <c r="J224" s="744"/>
      <c r="K224" s="789"/>
      <c r="L224" s="789"/>
    </row>
    <row r="225" spans="1:12" s="699" customFormat="1" ht="60" customHeight="1">
      <c r="A225" s="677"/>
      <c r="B225" s="710" t="s">
        <v>892</v>
      </c>
      <c r="C225" s="710">
        <v>1</v>
      </c>
      <c r="D225" s="710" t="s">
        <v>139</v>
      </c>
      <c r="E225" s="714">
        <v>29</v>
      </c>
      <c r="F225" s="710" t="s">
        <v>139</v>
      </c>
      <c r="G225" s="715">
        <f>E225*C225</f>
        <v>29</v>
      </c>
      <c r="H225" s="710"/>
      <c r="I225" s="744"/>
      <c r="J225" s="744"/>
      <c r="K225" s="716"/>
      <c r="L225" s="716"/>
    </row>
    <row r="226" spans="1:12" s="699" customFormat="1" ht="16.5" customHeight="1">
      <c r="A226" s="677"/>
      <c r="B226" s="710" t="s">
        <v>893</v>
      </c>
      <c r="C226" s="710">
        <v>3.5</v>
      </c>
      <c r="D226" s="710" t="s">
        <v>139</v>
      </c>
      <c r="E226" s="714">
        <v>51</v>
      </c>
      <c r="F226" s="710" t="s">
        <v>139</v>
      </c>
      <c r="G226" s="715">
        <f>E226*C226</f>
        <v>178.5</v>
      </c>
      <c r="H226" s="710"/>
      <c r="I226" s="744"/>
      <c r="J226" s="744"/>
      <c r="K226" s="716"/>
      <c r="L226" s="716"/>
    </row>
    <row r="227" spans="1:12" s="699" customFormat="1" ht="16.5" customHeight="1">
      <c r="A227" s="677"/>
      <c r="B227" s="710"/>
      <c r="C227" s="710"/>
      <c r="D227" s="710"/>
      <c r="E227" s="710"/>
      <c r="F227" s="710"/>
      <c r="G227" s="715">
        <f>SUM(G225:G226)</f>
        <v>207.5</v>
      </c>
      <c r="H227" s="710"/>
      <c r="I227" s="744"/>
      <c r="J227" s="744"/>
      <c r="K227" s="716"/>
      <c r="L227" s="716"/>
    </row>
    <row r="228" spans="1:12" s="699" customFormat="1" ht="16.5" customHeight="1">
      <c r="A228" s="677"/>
      <c r="B228" s="636" t="s">
        <v>762</v>
      </c>
      <c r="C228" s="640"/>
      <c r="D228" s="640"/>
      <c r="E228" s="643"/>
      <c r="F228" s="640"/>
      <c r="G228" s="640"/>
      <c r="H228" s="710"/>
      <c r="I228" s="744"/>
      <c r="J228" s="744"/>
      <c r="K228" s="716"/>
      <c r="L228" s="716"/>
    </row>
    <row r="229" spans="1:12" s="699" customFormat="1" ht="16.5" customHeight="1">
      <c r="A229" s="677"/>
      <c r="B229" s="649" t="s">
        <v>894</v>
      </c>
      <c r="C229" s="736">
        <v>0.36</v>
      </c>
      <c r="D229" s="640" t="s">
        <v>2</v>
      </c>
      <c r="E229" s="640">
        <v>540</v>
      </c>
      <c r="F229" s="640" t="s">
        <v>701</v>
      </c>
      <c r="G229" s="640">
        <f>C229*E229</f>
        <v>194.4</v>
      </c>
      <c r="H229" s="710"/>
      <c r="I229" s="744"/>
      <c r="J229" s="744"/>
      <c r="K229" s="716"/>
      <c r="L229" s="716"/>
    </row>
    <row r="230" spans="1:12" s="699" customFormat="1" ht="16.5" customHeight="1">
      <c r="A230" s="677"/>
      <c r="B230" s="649" t="s">
        <v>895</v>
      </c>
      <c r="C230" s="736">
        <v>0.84</v>
      </c>
      <c r="D230" s="640" t="s">
        <v>2</v>
      </c>
      <c r="E230" s="640">
        <v>450</v>
      </c>
      <c r="F230" s="640" t="s">
        <v>701</v>
      </c>
      <c r="G230" s="640">
        <f>C230*E230</f>
        <v>378</v>
      </c>
      <c r="H230" s="710"/>
      <c r="I230" s="744"/>
      <c r="J230" s="744"/>
      <c r="K230" s="716"/>
      <c r="L230" s="716"/>
    </row>
    <row r="231" spans="1:12" s="699" customFormat="1" ht="16.5" customHeight="1">
      <c r="A231" s="677"/>
      <c r="B231" s="649" t="s">
        <v>700</v>
      </c>
      <c r="C231" s="736">
        <v>1.5</v>
      </c>
      <c r="D231" s="640" t="s">
        <v>2</v>
      </c>
      <c r="E231" s="640">
        <v>425</v>
      </c>
      <c r="F231" s="640" t="s">
        <v>701</v>
      </c>
      <c r="G231" s="640">
        <f>C231*E231</f>
        <v>637.5</v>
      </c>
      <c r="H231" s="710"/>
      <c r="I231" s="744"/>
      <c r="J231" s="744"/>
      <c r="K231" s="716"/>
      <c r="L231" s="716"/>
    </row>
    <row r="232" spans="1:12" s="699" customFormat="1" ht="16.5" customHeight="1">
      <c r="A232" s="677"/>
      <c r="B232" s="649" t="s">
        <v>765</v>
      </c>
      <c r="C232" s="738">
        <v>0</v>
      </c>
      <c r="D232" s="640"/>
      <c r="E232" s="640">
        <f>SUM(G229:G231)</f>
        <v>1209.9000000000001</v>
      </c>
      <c r="F232" s="640"/>
      <c r="G232" s="640">
        <f>C232*E232</f>
        <v>0</v>
      </c>
      <c r="H232" s="710"/>
      <c r="I232" s="744"/>
      <c r="J232" s="744"/>
      <c r="K232" s="716"/>
      <c r="L232" s="716"/>
    </row>
    <row r="233" spans="1:12" s="699" customFormat="1" ht="16.5" customHeight="1">
      <c r="A233" s="677"/>
      <c r="B233" s="710"/>
      <c r="C233" s="710"/>
      <c r="D233" s="710"/>
      <c r="E233" s="710"/>
      <c r="F233" s="710"/>
      <c r="G233" s="715">
        <f>SUM(G229:G232)</f>
        <v>1209.9000000000001</v>
      </c>
      <c r="H233" s="710"/>
      <c r="I233" s="744"/>
      <c r="J233" s="744"/>
      <c r="K233" s="716"/>
      <c r="L233" s="716"/>
    </row>
    <row r="234" spans="1:12" s="699" customFormat="1" ht="16.5" customHeight="1">
      <c r="A234" s="677"/>
      <c r="B234" s="710" t="s">
        <v>887</v>
      </c>
      <c r="C234" s="710"/>
      <c r="D234" s="710"/>
      <c r="E234" s="710"/>
      <c r="F234" s="710"/>
      <c r="G234" s="715">
        <f>G227+G233</f>
        <v>1417.4</v>
      </c>
      <c r="H234" s="710" t="s">
        <v>889</v>
      </c>
      <c r="I234" s="744"/>
      <c r="J234" s="744"/>
      <c r="K234" s="716"/>
      <c r="L234" s="716"/>
    </row>
    <row r="235" spans="1:12" s="699" customFormat="1" ht="16.5" customHeight="1">
      <c r="A235" s="677"/>
      <c r="B235" s="710" t="s">
        <v>888</v>
      </c>
      <c r="C235" s="710"/>
      <c r="D235" s="710"/>
      <c r="E235" s="710"/>
      <c r="F235" s="710"/>
      <c r="G235" s="715">
        <f>G234/10</f>
        <v>141.74</v>
      </c>
      <c r="H235" s="710" t="s">
        <v>890</v>
      </c>
      <c r="I235" s="744"/>
      <c r="J235" s="744"/>
      <c r="K235" s="716"/>
      <c r="L235" s="716"/>
    </row>
    <row r="236" spans="1:12" s="699" customFormat="1" ht="16.5" customHeight="1">
      <c r="A236" s="677"/>
      <c r="B236" s="799" t="s">
        <v>882</v>
      </c>
      <c r="C236" s="710"/>
      <c r="D236" s="710"/>
      <c r="E236" s="710"/>
      <c r="F236" s="710"/>
      <c r="G236" s="715">
        <f>G235*0.13615</f>
        <v>19.297901</v>
      </c>
      <c r="H236" s="710"/>
      <c r="I236" s="744"/>
      <c r="J236" s="744"/>
      <c r="K236" s="716"/>
      <c r="L236" s="716"/>
    </row>
    <row r="237" spans="1:12" s="699" customFormat="1" ht="16.5" customHeight="1">
      <c r="A237" s="677"/>
      <c r="B237" s="710" t="s">
        <v>888</v>
      </c>
      <c r="C237" s="710"/>
      <c r="D237" s="710"/>
      <c r="E237" s="710"/>
      <c r="F237" s="710"/>
      <c r="G237" s="715">
        <f>SUM(G235:G236)</f>
        <v>161.03790100000001</v>
      </c>
      <c r="H237" s="710" t="s">
        <v>890</v>
      </c>
      <c r="I237" s="744"/>
      <c r="J237" s="744"/>
      <c r="K237" s="716"/>
      <c r="L237" s="716"/>
    </row>
    <row r="238" spans="1:12" s="699" customFormat="1" ht="16.5" customHeight="1">
      <c r="A238" s="677"/>
      <c r="B238" s="799" t="s">
        <v>883</v>
      </c>
      <c r="C238" s="799"/>
      <c r="D238" s="799"/>
      <c r="E238" s="799"/>
      <c r="F238" s="799"/>
      <c r="G238" s="818">
        <f>G237*0.1601</f>
        <v>25.7821679501</v>
      </c>
      <c r="H238" s="799"/>
      <c r="I238" s="744"/>
      <c r="J238" s="744"/>
      <c r="K238" s="716"/>
      <c r="L238" s="716"/>
    </row>
    <row r="239" spans="1:12" s="699" customFormat="1" ht="16.5" customHeight="1">
      <c r="A239" s="677"/>
      <c r="B239" s="795"/>
      <c r="C239" s="795"/>
      <c r="D239" s="795"/>
      <c r="E239" s="795"/>
      <c r="F239" s="795"/>
      <c r="G239" s="819">
        <f>G237-G238</f>
        <v>135.25573304990002</v>
      </c>
      <c r="H239" s="755" t="s">
        <v>880</v>
      </c>
      <c r="I239" s="744"/>
      <c r="J239" s="744"/>
      <c r="K239" s="716"/>
      <c r="L239" s="716"/>
    </row>
    <row r="240" spans="1:12" ht="75.75" customHeight="1">
      <c r="A240" s="677">
        <v>35</v>
      </c>
      <c r="B240" s="411" t="s">
        <v>81</v>
      </c>
      <c r="C240" s="412"/>
      <c r="D240" s="412"/>
      <c r="E240" s="412"/>
      <c r="F240" s="412"/>
      <c r="G240" s="412"/>
      <c r="H240" s="412"/>
      <c r="I240" s="412"/>
      <c r="J240" s="413"/>
    </row>
    <row r="241" spans="1:10" ht="18" customHeight="1">
      <c r="A241" s="677"/>
      <c r="B241" s="710" t="s">
        <v>884</v>
      </c>
      <c r="C241" s="710"/>
      <c r="D241" s="710"/>
      <c r="E241" s="710"/>
      <c r="F241" s="710"/>
      <c r="G241" s="710"/>
      <c r="H241" s="710"/>
      <c r="I241" s="710"/>
      <c r="J241" s="710"/>
    </row>
    <row r="242" spans="1:10" ht="18" customHeight="1">
      <c r="A242" s="677"/>
      <c r="B242" s="710" t="s">
        <v>160</v>
      </c>
      <c r="C242" s="710"/>
      <c r="D242" s="710"/>
      <c r="E242" s="710"/>
      <c r="F242" s="710"/>
      <c r="G242" s="710"/>
      <c r="H242" s="710"/>
      <c r="I242" s="710"/>
      <c r="J242" s="710"/>
    </row>
    <row r="243" spans="1:10" ht="18" customHeight="1">
      <c r="A243" s="677"/>
      <c r="B243" s="710" t="s">
        <v>885</v>
      </c>
      <c r="C243" s="710">
        <v>0.21</v>
      </c>
      <c r="D243" s="710" t="s">
        <v>16</v>
      </c>
      <c r="E243" s="710">
        <v>4687.12</v>
      </c>
      <c r="F243" s="710" t="s">
        <v>16</v>
      </c>
      <c r="G243" s="715">
        <f>E243*C243</f>
        <v>984.29519999999991</v>
      </c>
      <c r="H243" s="710"/>
      <c r="I243" s="710"/>
      <c r="J243" s="710"/>
    </row>
    <row r="244" spans="1:10" ht="18" customHeight="1">
      <c r="A244" s="677"/>
      <c r="B244" s="710" t="s">
        <v>886</v>
      </c>
      <c r="C244" s="710">
        <v>2</v>
      </c>
      <c r="D244" s="710" t="s">
        <v>33</v>
      </c>
      <c r="E244" s="710">
        <v>79</v>
      </c>
      <c r="F244" s="710" t="s">
        <v>33</v>
      </c>
      <c r="G244" s="715">
        <f>E244*C244</f>
        <v>158</v>
      </c>
      <c r="H244" s="710"/>
      <c r="I244" s="710"/>
      <c r="J244" s="710"/>
    </row>
    <row r="245" spans="1:10" ht="18" customHeight="1">
      <c r="A245" s="677"/>
      <c r="B245" s="710"/>
      <c r="C245" s="710"/>
      <c r="D245" s="710"/>
      <c r="E245" s="710"/>
      <c r="F245" s="710"/>
      <c r="G245" s="715">
        <f>SUM(G243:G244)</f>
        <v>1142.2952</v>
      </c>
      <c r="H245" s="710"/>
      <c r="I245" s="710"/>
      <c r="J245" s="710"/>
    </row>
    <row r="246" spans="1:10" ht="18" customHeight="1">
      <c r="A246" s="677"/>
      <c r="B246" s="636" t="s">
        <v>762</v>
      </c>
      <c r="C246" s="640"/>
      <c r="D246" s="640"/>
      <c r="E246" s="643"/>
      <c r="F246" s="640"/>
      <c r="G246" s="640"/>
      <c r="H246" s="710"/>
      <c r="I246" s="710"/>
      <c r="J246" s="710"/>
    </row>
    <row r="247" spans="1:10" ht="18" customHeight="1">
      <c r="A247" s="677"/>
      <c r="B247" s="649" t="s">
        <v>763</v>
      </c>
      <c r="C247" s="736">
        <v>0.66</v>
      </c>
      <c r="D247" s="640" t="s">
        <v>2</v>
      </c>
      <c r="E247" s="640">
        <v>470</v>
      </c>
      <c r="F247" s="640" t="s">
        <v>701</v>
      </c>
      <c r="G247" s="640">
        <f>C247*E247</f>
        <v>310.2</v>
      </c>
      <c r="H247" s="710"/>
      <c r="I247" s="710"/>
      <c r="J247" s="710"/>
    </row>
    <row r="248" spans="1:10" ht="18" customHeight="1">
      <c r="A248" s="677"/>
      <c r="B248" s="649" t="s">
        <v>764</v>
      </c>
      <c r="C248" s="736">
        <v>1.54</v>
      </c>
      <c r="D248" s="640" t="s">
        <v>2</v>
      </c>
      <c r="E248" s="640">
        <v>450</v>
      </c>
      <c r="F248" s="640" t="s">
        <v>701</v>
      </c>
      <c r="G248" s="640">
        <f>C248*E248</f>
        <v>693</v>
      </c>
      <c r="H248" s="710"/>
      <c r="I248" s="710"/>
      <c r="J248" s="710"/>
    </row>
    <row r="249" spans="1:10" ht="18" customHeight="1">
      <c r="A249" s="677"/>
      <c r="B249" s="649" t="s">
        <v>700</v>
      </c>
      <c r="C249" s="736">
        <v>3.7</v>
      </c>
      <c r="D249" s="640" t="s">
        <v>2</v>
      </c>
      <c r="E249" s="640">
        <v>425</v>
      </c>
      <c r="F249" s="640" t="s">
        <v>701</v>
      </c>
      <c r="G249" s="640">
        <f>C249*E249</f>
        <v>1572.5</v>
      </c>
      <c r="H249" s="710"/>
      <c r="I249" s="710"/>
      <c r="J249" s="710"/>
    </row>
    <row r="250" spans="1:10" ht="18" customHeight="1">
      <c r="A250" s="677"/>
      <c r="B250" s="649" t="s">
        <v>765</v>
      </c>
      <c r="C250" s="738">
        <v>0</v>
      </c>
      <c r="D250" s="640"/>
      <c r="E250" s="640">
        <f>SUM(G247:G249)</f>
        <v>2575.6999999999998</v>
      </c>
      <c r="F250" s="640"/>
      <c r="G250" s="640">
        <f>C250*E250</f>
        <v>0</v>
      </c>
      <c r="H250" s="710"/>
      <c r="I250" s="710"/>
      <c r="J250" s="710"/>
    </row>
    <row r="251" spans="1:10" ht="18" customHeight="1">
      <c r="A251" s="677"/>
      <c r="B251" s="710"/>
      <c r="C251" s="710"/>
      <c r="D251" s="710"/>
      <c r="E251" s="710"/>
      <c r="F251" s="710"/>
      <c r="G251" s="715">
        <f>SUM(G247:G250)</f>
        <v>2575.6999999999998</v>
      </c>
      <c r="H251" s="710"/>
      <c r="I251" s="710"/>
      <c r="J251" s="710"/>
    </row>
    <row r="252" spans="1:10" ht="18" customHeight="1">
      <c r="A252" s="677"/>
      <c r="B252" s="710" t="s">
        <v>887</v>
      </c>
      <c r="C252" s="710"/>
      <c r="D252" s="710"/>
      <c r="E252" s="710"/>
      <c r="F252" s="710"/>
      <c r="G252" s="715">
        <f>G245+G251</f>
        <v>3717.9951999999998</v>
      </c>
      <c r="H252" s="710" t="s">
        <v>889</v>
      </c>
      <c r="I252" s="710"/>
      <c r="J252" s="710"/>
    </row>
    <row r="253" spans="1:10" ht="18" customHeight="1">
      <c r="A253" s="677"/>
      <c r="B253" s="710" t="s">
        <v>888</v>
      </c>
      <c r="C253" s="710"/>
      <c r="D253" s="710"/>
      <c r="E253" s="710"/>
      <c r="F253" s="710"/>
      <c r="G253" s="715">
        <f>G252/10</f>
        <v>371.79951999999997</v>
      </c>
      <c r="H253" s="710" t="s">
        <v>890</v>
      </c>
      <c r="I253" s="710"/>
      <c r="J253" s="710"/>
    </row>
    <row r="254" spans="1:10" ht="18" customHeight="1">
      <c r="A254" s="677"/>
      <c r="B254" s="799" t="s">
        <v>882</v>
      </c>
      <c r="C254" s="710"/>
      <c r="D254" s="710"/>
      <c r="E254" s="710"/>
      <c r="F254" s="710"/>
      <c r="G254" s="715">
        <f>G253*0.13615</f>
        <v>50.620504647999994</v>
      </c>
      <c r="H254" s="710"/>
      <c r="I254" s="710"/>
      <c r="J254" s="710"/>
    </row>
    <row r="255" spans="1:10" ht="18" customHeight="1">
      <c r="A255" s="677"/>
      <c r="B255" s="710" t="s">
        <v>888</v>
      </c>
      <c r="C255" s="710"/>
      <c r="D255" s="710"/>
      <c r="E255" s="710"/>
      <c r="F255" s="710"/>
      <c r="G255" s="715">
        <f>SUM(G253:G254)</f>
        <v>422.42002464799998</v>
      </c>
      <c r="H255" s="710" t="s">
        <v>890</v>
      </c>
      <c r="I255" s="710"/>
      <c r="J255" s="710"/>
    </row>
    <row r="256" spans="1:10" ht="18" customHeight="1">
      <c r="A256" s="677"/>
      <c r="B256" s="799" t="s">
        <v>883</v>
      </c>
      <c r="C256" s="799"/>
      <c r="D256" s="799"/>
      <c r="E256" s="799"/>
      <c r="F256" s="799"/>
      <c r="G256" s="818">
        <f>G255*0.1601</f>
        <v>67.629445946144799</v>
      </c>
      <c r="H256" s="799"/>
      <c r="I256" s="710"/>
      <c r="J256" s="710"/>
    </row>
    <row r="257" spans="1:10" ht="18" customHeight="1">
      <c r="A257" s="677"/>
      <c r="B257" s="795"/>
      <c r="C257" s="795"/>
      <c r="D257" s="795"/>
      <c r="E257" s="795"/>
      <c r="F257" s="795"/>
      <c r="G257" s="819">
        <f>G255-G256</f>
        <v>354.79057870185517</v>
      </c>
      <c r="H257" s="755" t="s">
        <v>880</v>
      </c>
      <c r="I257" s="710"/>
      <c r="J257" s="710"/>
    </row>
    <row r="258" spans="1:10" ht="109.9" customHeight="1">
      <c r="A258" s="717">
        <v>36</v>
      </c>
      <c r="B258" s="854" t="s">
        <v>84</v>
      </c>
      <c r="C258" s="854"/>
      <c r="D258" s="854"/>
      <c r="E258" s="854"/>
      <c r="F258" s="854"/>
      <c r="G258" s="854"/>
      <c r="H258" s="854"/>
      <c r="I258" s="622"/>
      <c r="J258" s="622"/>
    </row>
    <row r="259" spans="1:10">
      <c r="A259" s="717"/>
      <c r="B259" s="855"/>
      <c r="C259" s="824" t="s">
        <v>142</v>
      </c>
      <c r="D259" s="824"/>
      <c r="E259" s="824"/>
      <c r="F259" s="824"/>
      <c r="G259" s="824"/>
      <c r="H259" s="824"/>
      <c r="I259" s="829" t="s">
        <v>934</v>
      </c>
      <c r="J259" s="830"/>
    </row>
    <row r="260" spans="1:10">
      <c r="A260" s="700"/>
      <c r="B260" s="823" t="s">
        <v>173</v>
      </c>
      <c r="C260" s="823"/>
      <c r="D260" s="823"/>
      <c r="E260" s="845">
        <v>6375</v>
      </c>
      <c r="F260" s="823">
        <v>1</v>
      </c>
      <c r="G260" s="823" t="s">
        <v>56</v>
      </c>
      <c r="H260" s="845">
        <v>6375</v>
      </c>
      <c r="I260" s="622"/>
      <c r="J260" s="622"/>
    </row>
    <row r="261" spans="1:10">
      <c r="A261" s="700"/>
      <c r="B261" s="823" t="s">
        <v>106</v>
      </c>
      <c r="C261" s="823"/>
      <c r="D261" s="823"/>
      <c r="E261" s="848">
        <v>0.13614999999999999</v>
      </c>
      <c r="F261" s="823"/>
      <c r="G261" s="823"/>
      <c r="H261" s="845">
        <f>H260*0.13615</f>
        <v>867.95624999999995</v>
      </c>
      <c r="I261" s="622"/>
      <c r="J261" s="622"/>
    </row>
    <row r="262" spans="1:10">
      <c r="A262" s="705"/>
      <c r="B262" s="834" t="s">
        <v>107</v>
      </c>
      <c r="C262" s="856">
        <f>H260+H261</f>
        <v>7242.9562500000002</v>
      </c>
      <c r="D262" s="856"/>
      <c r="E262" s="856"/>
      <c r="F262" s="856"/>
      <c r="G262" s="856"/>
      <c r="H262" s="856"/>
      <c r="I262" s="622"/>
      <c r="J262" s="622"/>
    </row>
    <row r="263" spans="1:10">
      <c r="A263" s="700"/>
      <c r="B263" s="799" t="s">
        <v>883</v>
      </c>
      <c r="C263" s="799"/>
      <c r="D263" s="799"/>
      <c r="E263" s="799"/>
      <c r="F263" s="799"/>
      <c r="G263" s="818">
        <f>C262*0.1601</f>
        <v>1159.597295625</v>
      </c>
      <c r="H263" s="799"/>
      <c r="I263" s="857"/>
      <c r="J263" s="857"/>
    </row>
    <row r="264" spans="1:10">
      <c r="A264" s="622"/>
      <c r="B264" s="795"/>
      <c r="C264" s="795"/>
      <c r="D264" s="795"/>
      <c r="E264" s="795"/>
      <c r="F264" s="795"/>
      <c r="G264" s="819">
        <f>C262-G263</f>
        <v>6083.3589543750004</v>
      </c>
      <c r="H264" s="755" t="s">
        <v>880</v>
      </c>
      <c r="I264" s="622"/>
      <c r="J264" s="622"/>
    </row>
    <row r="265" spans="1:10">
      <c r="A265" s="718"/>
      <c r="B265" s="858" t="s">
        <v>89</v>
      </c>
      <c r="C265" s="859"/>
      <c r="D265" s="859"/>
      <c r="E265" s="859"/>
      <c r="F265" s="859"/>
      <c r="G265" s="859"/>
      <c r="H265" s="859"/>
      <c r="I265" s="622"/>
      <c r="J265" s="622"/>
    </row>
    <row r="266" spans="1:10">
      <c r="A266" s="718"/>
      <c r="B266" s="858"/>
      <c r="C266" s="859"/>
      <c r="D266" s="859"/>
      <c r="E266" s="859"/>
      <c r="F266" s="859"/>
      <c r="G266" s="859"/>
      <c r="H266" s="859"/>
      <c r="I266" s="622"/>
      <c r="J266" s="622"/>
    </row>
    <row r="267" spans="1:10" ht="120">
      <c r="A267" s="718">
        <v>37</v>
      </c>
      <c r="B267" s="860" t="s">
        <v>90</v>
      </c>
      <c r="C267" s="860"/>
      <c r="D267" s="860"/>
      <c r="E267" s="860"/>
      <c r="F267" s="860"/>
      <c r="G267" s="860"/>
      <c r="H267" s="860"/>
      <c r="I267" s="622"/>
      <c r="J267" s="622"/>
    </row>
    <row r="268" spans="1:10" ht="15" customHeight="1">
      <c r="A268" s="718"/>
      <c r="B268" s="859"/>
      <c r="C268" s="861" t="s">
        <v>108</v>
      </c>
      <c r="D268" s="861"/>
      <c r="E268" s="861"/>
      <c r="F268" s="861"/>
      <c r="G268" s="861"/>
      <c r="H268" s="861"/>
      <c r="I268" s="622"/>
      <c r="J268" s="622"/>
    </row>
    <row r="269" spans="1:10">
      <c r="A269" s="718"/>
      <c r="B269" s="859" t="s">
        <v>109</v>
      </c>
      <c r="C269" s="859"/>
      <c r="D269" s="859"/>
      <c r="E269" s="862">
        <v>423</v>
      </c>
      <c r="F269" s="859">
        <v>1</v>
      </c>
      <c r="G269" s="859" t="s">
        <v>41</v>
      </c>
      <c r="H269" s="862">
        <v>423</v>
      </c>
      <c r="I269" s="829" t="s">
        <v>934</v>
      </c>
      <c r="J269" s="830"/>
    </row>
    <row r="270" spans="1:10">
      <c r="A270" s="718"/>
      <c r="B270" s="859" t="s">
        <v>110</v>
      </c>
      <c r="C270" s="859"/>
      <c r="D270" s="859"/>
      <c r="E270" s="859"/>
      <c r="F270" s="859"/>
      <c r="G270" s="859"/>
      <c r="H270" s="859"/>
      <c r="I270" s="622"/>
      <c r="J270" s="622"/>
    </row>
    <row r="271" spans="1:10">
      <c r="A271" s="718"/>
      <c r="B271" s="859" t="s">
        <v>106</v>
      </c>
      <c r="C271" s="859"/>
      <c r="D271" s="859"/>
      <c r="E271" s="863">
        <v>0.13614999999999999</v>
      </c>
      <c r="F271" s="859"/>
      <c r="G271" s="859"/>
      <c r="H271" s="862">
        <f>H269*0.13615</f>
        <v>57.591449999999995</v>
      </c>
      <c r="I271" s="622"/>
      <c r="J271" s="622"/>
    </row>
    <row r="272" spans="1:10">
      <c r="A272" s="718"/>
      <c r="B272" s="859"/>
      <c r="C272" s="859"/>
      <c r="D272" s="859"/>
      <c r="E272" s="863"/>
      <c r="F272" s="859"/>
      <c r="G272" s="859"/>
      <c r="H272" s="862">
        <f>SUM(H269:H271)</f>
        <v>480.59145000000001</v>
      </c>
      <c r="I272" s="622"/>
      <c r="J272" s="622"/>
    </row>
    <row r="273" spans="1:10">
      <c r="A273" s="719"/>
      <c r="B273" s="864"/>
      <c r="C273" s="865">
        <v>480.59</v>
      </c>
      <c r="D273" s="865"/>
      <c r="E273" s="865"/>
      <c r="F273" s="865"/>
      <c r="G273" s="865"/>
      <c r="H273" s="865"/>
      <c r="I273" s="622"/>
      <c r="J273" s="622"/>
    </row>
    <row r="274" spans="1:10">
      <c r="A274" s="719"/>
      <c r="B274" s="858" t="s">
        <v>694</v>
      </c>
      <c r="C274" s="866"/>
      <c r="D274" s="866">
        <v>16.010000000000002</v>
      </c>
      <c r="E274" s="866">
        <f>C273*16.01%</f>
        <v>76.942458999999999</v>
      </c>
      <c r="F274" s="866"/>
      <c r="G274" s="866"/>
      <c r="H274" s="866"/>
      <c r="I274" s="622"/>
      <c r="J274" s="622"/>
    </row>
    <row r="275" spans="1:10">
      <c r="A275" s="718"/>
      <c r="B275" s="867" t="s">
        <v>696</v>
      </c>
      <c r="C275" s="859"/>
      <c r="D275" s="859"/>
      <c r="E275" s="868">
        <f>C273-E274</f>
        <v>403.64754099999999</v>
      </c>
      <c r="F275" s="859"/>
      <c r="G275" s="859"/>
      <c r="H275" s="859"/>
      <c r="I275" s="622"/>
      <c r="J275" s="622"/>
    </row>
    <row r="276" spans="1:10" ht="105">
      <c r="A276" s="718">
        <v>38</v>
      </c>
      <c r="B276" s="869" t="s">
        <v>91</v>
      </c>
      <c r="C276" s="860"/>
      <c r="D276" s="860"/>
      <c r="E276" s="860"/>
      <c r="F276" s="860"/>
      <c r="G276" s="860"/>
      <c r="H276" s="860"/>
      <c r="I276" s="622"/>
      <c r="J276" s="622"/>
    </row>
    <row r="277" spans="1:10">
      <c r="A277" s="718"/>
      <c r="B277" s="859"/>
      <c r="C277" s="861" t="s">
        <v>111</v>
      </c>
      <c r="D277" s="861"/>
      <c r="E277" s="861"/>
      <c r="F277" s="861"/>
      <c r="G277" s="861"/>
      <c r="H277" s="861"/>
      <c r="I277" s="622"/>
      <c r="J277" s="622"/>
    </row>
    <row r="278" spans="1:10" ht="15" customHeight="1">
      <c r="A278" s="718"/>
      <c r="B278" s="859" t="s">
        <v>112</v>
      </c>
      <c r="C278" s="859"/>
      <c r="D278" s="859"/>
      <c r="E278" s="859">
        <v>619</v>
      </c>
      <c r="F278" s="859">
        <v>1</v>
      </c>
      <c r="G278" s="859" t="s">
        <v>2</v>
      </c>
      <c r="H278" s="862">
        <v>619</v>
      </c>
      <c r="I278" s="829" t="s">
        <v>934</v>
      </c>
      <c r="J278" s="830"/>
    </row>
    <row r="279" spans="1:10">
      <c r="A279" s="718"/>
      <c r="B279" s="859" t="s">
        <v>106</v>
      </c>
      <c r="C279" s="859"/>
      <c r="D279" s="859"/>
      <c r="E279" s="863">
        <v>0.13614999999999999</v>
      </c>
      <c r="F279" s="859"/>
      <c r="G279" s="859"/>
      <c r="H279" s="862">
        <f>H278*0.13615</f>
        <v>84.276849999999996</v>
      </c>
      <c r="I279" s="622"/>
      <c r="J279" s="622"/>
    </row>
    <row r="280" spans="1:10">
      <c r="A280" s="718"/>
      <c r="B280" s="859"/>
      <c r="C280" s="859"/>
      <c r="D280" s="859"/>
      <c r="E280" s="863"/>
      <c r="F280" s="859"/>
      <c r="G280" s="859"/>
      <c r="H280" s="862">
        <f>SUM(H278:H279)</f>
        <v>703.27684999999997</v>
      </c>
      <c r="I280" s="622"/>
      <c r="J280" s="622"/>
    </row>
    <row r="281" spans="1:10">
      <c r="A281" s="718"/>
      <c r="B281" s="870" t="s">
        <v>113</v>
      </c>
      <c r="C281" s="871">
        <v>703.28</v>
      </c>
      <c r="D281" s="871"/>
      <c r="E281" s="871"/>
      <c r="F281" s="871"/>
      <c r="G281" s="871"/>
      <c r="H281" s="871"/>
      <c r="I281" s="622"/>
      <c r="J281" s="622"/>
    </row>
    <row r="282" spans="1:10">
      <c r="A282" s="718"/>
      <c r="B282" s="858" t="s">
        <v>694</v>
      </c>
      <c r="C282" s="866"/>
      <c r="D282" s="866">
        <v>16.010000000000002</v>
      </c>
      <c r="E282" s="866">
        <f>C281*16.01%</f>
        <v>112.59512800000002</v>
      </c>
      <c r="F282" s="872"/>
      <c r="G282" s="872"/>
      <c r="H282" s="872"/>
      <c r="I282" s="622"/>
      <c r="J282" s="622"/>
    </row>
    <row r="283" spans="1:10">
      <c r="A283" s="718"/>
      <c r="B283" s="867" t="s">
        <v>113</v>
      </c>
      <c r="C283" s="859"/>
      <c r="D283" s="859"/>
      <c r="E283" s="868">
        <f>C281-E282</f>
        <v>590.68487199999993</v>
      </c>
      <c r="F283" s="872"/>
      <c r="G283" s="872"/>
      <c r="H283" s="872"/>
      <c r="I283" s="622"/>
      <c r="J283" s="622"/>
    </row>
    <row r="284" spans="1:10">
      <c r="A284" s="718"/>
      <c r="B284" s="859"/>
      <c r="C284" s="859"/>
      <c r="D284" s="859"/>
      <c r="E284" s="859"/>
      <c r="F284" s="859"/>
      <c r="G284" s="859"/>
      <c r="H284" s="859"/>
      <c r="I284" s="622"/>
      <c r="J284" s="622"/>
    </row>
    <row r="285" spans="1:10" ht="390">
      <c r="A285" s="718">
        <v>39</v>
      </c>
      <c r="B285" s="860" t="s">
        <v>92</v>
      </c>
      <c r="C285" s="860"/>
      <c r="D285" s="860"/>
      <c r="E285" s="860"/>
      <c r="F285" s="860"/>
      <c r="G285" s="860"/>
      <c r="H285" s="860"/>
      <c r="I285" s="622"/>
      <c r="J285" s="622"/>
    </row>
    <row r="286" spans="1:10">
      <c r="A286" s="718"/>
      <c r="B286" s="859"/>
      <c r="C286" s="861" t="s">
        <v>111</v>
      </c>
      <c r="D286" s="861"/>
      <c r="E286" s="861"/>
      <c r="F286" s="861"/>
      <c r="G286" s="861"/>
      <c r="H286" s="861"/>
      <c r="I286" s="622"/>
      <c r="J286" s="622"/>
    </row>
    <row r="287" spans="1:10">
      <c r="A287" s="718"/>
      <c r="B287" s="859" t="s">
        <v>114</v>
      </c>
      <c r="C287" s="859"/>
      <c r="D287" s="859"/>
      <c r="E287" s="862">
        <v>7321</v>
      </c>
      <c r="F287" s="859">
        <v>1</v>
      </c>
      <c r="G287" s="859" t="s">
        <v>2</v>
      </c>
      <c r="H287" s="862">
        <v>7321</v>
      </c>
      <c r="I287" s="829" t="s">
        <v>934</v>
      </c>
      <c r="J287" s="830"/>
    </row>
    <row r="288" spans="1:10">
      <c r="A288" s="718"/>
      <c r="B288" s="859" t="s">
        <v>106</v>
      </c>
      <c r="C288" s="859"/>
      <c r="D288" s="859"/>
      <c r="E288" s="863">
        <v>0.13614999999999999</v>
      </c>
      <c r="F288" s="859"/>
      <c r="G288" s="859"/>
      <c r="H288" s="862">
        <f>H287*0.13615</f>
        <v>996.75414999999998</v>
      </c>
      <c r="I288" s="622"/>
      <c r="J288" s="622"/>
    </row>
    <row r="289" spans="1:10">
      <c r="A289" s="718"/>
      <c r="B289" s="859"/>
      <c r="C289" s="859"/>
      <c r="D289" s="859"/>
      <c r="E289" s="863"/>
      <c r="F289" s="859"/>
      <c r="G289" s="859"/>
      <c r="H289" s="862">
        <f>SUM(H287:H288)</f>
        <v>8317.7541500000007</v>
      </c>
      <c r="I289" s="622"/>
      <c r="J289" s="622"/>
    </row>
    <row r="290" spans="1:10">
      <c r="A290" s="718"/>
      <c r="B290" s="859"/>
      <c r="C290" s="873">
        <v>8317.75</v>
      </c>
      <c r="D290" s="873"/>
      <c r="E290" s="873"/>
      <c r="F290" s="873"/>
      <c r="G290" s="873"/>
      <c r="H290" s="873"/>
      <c r="I290" s="622"/>
      <c r="J290" s="622"/>
    </row>
    <row r="291" spans="1:10">
      <c r="A291" s="718"/>
      <c r="B291" s="858" t="s">
        <v>694</v>
      </c>
      <c r="C291" s="866"/>
      <c r="D291" s="866">
        <v>16.010000000000002</v>
      </c>
      <c r="E291" s="866">
        <f>C290*16.01%</f>
        <v>1331.6717750000003</v>
      </c>
      <c r="F291" s="859"/>
      <c r="G291" s="859"/>
      <c r="H291" s="862"/>
      <c r="I291" s="622"/>
      <c r="J291" s="622"/>
    </row>
    <row r="292" spans="1:10">
      <c r="A292" s="718"/>
      <c r="B292" s="867" t="s">
        <v>107</v>
      </c>
      <c r="C292" s="859"/>
      <c r="D292" s="859"/>
      <c r="E292" s="868">
        <f>C290-E291</f>
        <v>6986.0782249999993</v>
      </c>
      <c r="F292" s="859"/>
      <c r="G292" s="859"/>
      <c r="H292" s="862"/>
      <c r="I292" s="622"/>
      <c r="J292" s="622"/>
    </row>
    <row r="293" spans="1:10">
      <c r="A293" s="718"/>
      <c r="B293" s="870"/>
      <c r="I293" s="622"/>
      <c r="J293" s="622"/>
    </row>
    <row r="294" spans="1:10" ht="150">
      <c r="A294" s="718">
        <v>40</v>
      </c>
      <c r="B294" s="869" t="s">
        <v>93</v>
      </c>
      <c r="C294" s="860"/>
      <c r="D294" s="860"/>
      <c r="E294" s="860"/>
      <c r="F294" s="860"/>
      <c r="G294" s="860"/>
      <c r="H294" s="860"/>
      <c r="I294" s="622"/>
      <c r="J294" s="622"/>
    </row>
    <row r="295" spans="1:10">
      <c r="A295" s="718"/>
      <c r="B295" s="859"/>
      <c r="C295" s="861" t="s">
        <v>111</v>
      </c>
      <c r="D295" s="861"/>
      <c r="E295" s="861"/>
      <c r="F295" s="861"/>
      <c r="G295" s="861"/>
      <c r="H295" s="861"/>
      <c r="I295" s="622"/>
      <c r="J295" s="622"/>
    </row>
    <row r="296" spans="1:10">
      <c r="A296" s="718"/>
      <c r="B296" s="859" t="s">
        <v>115</v>
      </c>
      <c r="C296" s="859"/>
      <c r="D296" s="859"/>
      <c r="E296" s="862">
        <v>1306</v>
      </c>
      <c r="F296" s="859">
        <v>1</v>
      </c>
      <c r="G296" s="859" t="s">
        <v>2</v>
      </c>
      <c r="H296" s="862">
        <v>1306</v>
      </c>
      <c r="I296" s="829" t="s">
        <v>934</v>
      </c>
      <c r="J296" s="830"/>
    </row>
    <row r="297" spans="1:10" ht="60">
      <c r="A297" s="718"/>
      <c r="B297" s="869" t="s">
        <v>116</v>
      </c>
      <c r="C297" s="860"/>
      <c r="D297" s="860"/>
      <c r="E297" s="860"/>
      <c r="F297" s="860"/>
      <c r="G297" s="860"/>
      <c r="H297" s="860"/>
      <c r="I297" s="622"/>
      <c r="J297" s="622"/>
    </row>
    <row r="298" spans="1:10">
      <c r="A298" s="718"/>
      <c r="B298" s="859" t="s">
        <v>117</v>
      </c>
      <c r="C298" s="860"/>
      <c r="D298" s="860"/>
      <c r="E298" s="860">
        <v>271</v>
      </c>
      <c r="F298" s="859">
        <v>1</v>
      </c>
      <c r="G298" s="859" t="s">
        <v>2</v>
      </c>
      <c r="H298" s="860">
        <v>271</v>
      </c>
      <c r="I298" s="622"/>
      <c r="J298" s="622"/>
    </row>
    <row r="299" spans="1:10">
      <c r="A299" s="718"/>
      <c r="B299" s="859"/>
      <c r="C299" s="860"/>
      <c r="D299" s="860"/>
      <c r="E299" s="860"/>
      <c r="F299" s="860"/>
      <c r="G299" s="859"/>
      <c r="H299" s="874">
        <f>SUM(H296:H298)</f>
        <v>1577</v>
      </c>
      <c r="I299" s="622"/>
      <c r="J299" s="622"/>
    </row>
    <row r="300" spans="1:10">
      <c r="A300" s="718"/>
      <c r="B300" s="859" t="s">
        <v>106</v>
      </c>
      <c r="C300" s="859"/>
      <c r="D300" s="859"/>
      <c r="E300" s="863">
        <v>0.13614999999999999</v>
      </c>
      <c r="F300" s="859"/>
      <c r="G300" s="859"/>
      <c r="H300" s="862">
        <f>H299*0.13615</f>
        <v>214.70855</v>
      </c>
      <c r="I300" s="622"/>
      <c r="J300" s="622"/>
    </row>
    <row r="301" spans="1:10">
      <c r="A301" s="718"/>
      <c r="B301" s="859"/>
      <c r="C301" s="859"/>
      <c r="D301" s="859"/>
      <c r="E301" s="863"/>
      <c r="F301" s="859"/>
      <c r="G301" s="859"/>
      <c r="H301" s="862">
        <f>SUM(H299:H300)</f>
        <v>1791.7085500000001</v>
      </c>
      <c r="I301" s="622"/>
      <c r="J301" s="622"/>
    </row>
    <row r="302" spans="1:10">
      <c r="A302" s="718"/>
      <c r="B302" s="870"/>
      <c r="C302" s="873">
        <v>1791.71</v>
      </c>
      <c r="D302" s="873"/>
      <c r="E302" s="873"/>
      <c r="F302" s="873"/>
      <c r="G302" s="873"/>
      <c r="H302" s="873"/>
      <c r="I302" s="622"/>
      <c r="J302" s="622"/>
    </row>
    <row r="303" spans="1:10">
      <c r="A303" s="718"/>
      <c r="B303" s="858" t="s">
        <v>694</v>
      </c>
      <c r="C303" s="866"/>
      <c r="D303" s="866">
        <v>16.010000000000002</v>
      </c>
      <c r="E303" s="866">
        <f>C302*16.01%</f>
        <v>286.85277100000002</v>
      </c>
      <c r="F303" s="859"/>
      <c r="G303" s="859"/>
      <c r="H303" s="859"/>
      <c r="I303" s="622"/>
      <c r="J303" s="622"/>
    </row>
    <row r="304" spans="1:10">
      <c r="A304" s="718"/>
      <c r="B304" s="867" t="s">
        <v>695</v>
      </c>
      <c r="C304" s="859"/>
      <c r="D304" s="859"/>
      <c r="E304" s="868">
        <f>C302-E303</f>
        <v>1504.857229</v>
      </c>
      <c r="F304" s="859"/>
      <c r="G304" s="859"/>
      <c r="H304" s="859"/>
      <c r="I304" s="622"/>
      <c r="J304" s="622"/>
    </row>
    <row r="305" spans="1:10" ht="45">
      <c r="A305" s="718">
        <v>41</v>
      </c>
      <c r="B305" s="869" t="s">
        <v>94</v>
      </c>
      <c r="C305" s="875"/>
      <c r="D305" s="875"/>
      <c r="E305" s="875"/>
      <c r="F305" s="875"/>
      <c r="G305" s="875"/>
      <c r="H305" s="876"/>
      <c r="I305" s="622"/>
      <c r="J305" s="622"/>
    </row>
    <row r="306" spans="1:10">
      <c r="A306" s="718"/>
      <c r="B306" s="859"/>
      <c r="C306" s="861" t="s">
        <v>111</v>
      </c>
      <c r="D306" s="861"/>
      <c r="E306" s="861"/>
      <c r="F306" s="861"/>
      <c r="G306" s="861"/>
      <c r="H306" s="861"/>
      <c r="I306" s="622"/>
      <c r="J306" s="622"/>
    </row>
    <row r="307" spans="1:10" ht="15" customHeight="1">
      <c r="A307" s="718"/>
      <c r="B307" s="859" t="s">
        <v>118</v>
      </c>
      <c r="C307" s="859"/>
      <c r="D307" s="859"/>
      <c r="E307" s="862">
        <v>2089</v>
      </c>
      <c r="F307" s="859">
        <v>1</v>
      </c>
      <c r="G307" s="859" t="s">
        <v>2</v>
      </c>
      <c r="H307" s="862">
        <v>2089</v>
      </c>
      <c r="I307" s="829" t="s">
        <v>934</v>
      </c>
      <c r="J307" s="830"/>
    </row>
    <row r="308" spans="1:10">
      <c r="A308" s="718"/>
      <c r="B308" s="859" t="s">
        <v>106</v>
      </c>
      <c r="C308" s="859"/>
      <c r="D308" s="859"/>
      <c r="E308" s="863">
        <v>0.13614999999999999</v>
      </c>
      <c r="F308" s="859"/>
      <c r="G308" s="859"/>
      <c r="H308" s="862">
        <v>345.00409999999999</v>
      </c>
      <c r="I308" s="622"/>
      <c r="J308" s="622"/>
    </row>
    <row r="309" spans="1:10">
      <c r="A309" s="718"/>
      <c r="B309" s="870"/>
      <c r="C309" s="873">
        <v>2879.0041000000001</v>
      </c>
      <c r="D309" s="873"/>
      <c r="E309" s="873"/>
      <c r="F309" s="873"/>
      <c r="G309" s="873"/>
      <c r="H309" s="873"/>
      <c r="I309" s="622"/>
      <c r="J309" s="622"/>
    </row>
    <row r="310" spans="1:10">
      <c r="A310" s="718"/>
      <c r="B310" s="858" t="s">
        <v>694</v>
      </c>
      <c r="C310" s="866"/>
      <c r="D310" s="866">
        <v>16.010000000000002</v>
      </c>
      <c r="E310" s="866">
        <f>C309*16.01%</f>
        <v>460.92855641000006</v>
      </c>
      <c r="F310" s="859"/>
      <c r="G310" s="859"/>
      <c r="H310" s="859"/>
      <c r="I310" s="622"/>
      <c r="J310" s="622"/>
    </row>
    <row r="311" spans="1:10">
      <c r="A311" s="718"/>
      <c r="B311" s="867" t="s">
        <v>695</v>
      </c>
      <c r="C311" s="859"/>
      <c r="D311" s="859"/>
      <c r="E311" s="868">
        <f>C309-E310</f>
        <v>2418.0755435900001</v>
      </c>
      <c r="F311" s="859"/>
      <c r="G311" s="859"/>
      <c r="H311" s="859"/>
      <c r="I311" s="622"/>
      <c r="J311" s="622"/>
    </row>
    <row r="312" spans="1:10" ht="180">
      <c r="A312" s="718">
        <v>42</v>
      </c>
      <c r="B312" s="860" t="s">
        <v>95</v>
      </c>
      <c r="C312" s="860"/>
      <c r="D312" s="860"/>
      <c r="E312" s="860"/>
      <c r="F312" s="860"/>
      <c r="G312" s="860"/>
      <c r="H312" s="860"/>
      <c r="I312" s="622"/>
      <c r="J312" s="622"/>
    </row>
    <row r="313" spans="1:10">
      <c r="A313" s="718"/>
      <c r="B313" s="859"/>
      <c r="C313" s="861" t="s">
        <v>111</v>
      </c>
      <c r="D313" s="861"/>
      <c r="E313" s="861"/>
      <c r="F313" s="861"/>
      <c r="G313" s="861"/>
      <c r="H313" s="861"/>
      <c r="I313" s="622"/>
      <c r="J313" s="622"/>
    </row>
    <row r="314" spans="1:10" ht="15" customHeight="1">
      <c r="A314" s="718"/>
      <c r="B314" s="859" t="s">
        <v>119</v>
      </c>
      <c r="C314" s="859"/>
      <c r="D314" s="859"/>
      <c r="E314" s="862">
        <v>1981</v>
      </c>
      <c r="F314" s="859">
        <v>1</v>
      </c>
      <c r="G314" s="859" t="s">
        <v>2</v>
      </c>
      <c r="H314" s="862">
        <v>1981</v>
      </c>
      <c r="I314" s="829" t="s">
        <v>934</v>
      </c>
      <c r="J314" s="830"/>
    </row>
    <row r="315" spans="1:10">
      <c r="A315" s="718"/>
      <c r="B315" s="859" t="s">
        <v>106</v>
      </c>
      <c r="C315" s="859"/>
      <c r="D315" s="859"/>
      <c r="E315" s="863">
        <v>0.13614999999999999</v>
      </c>
      <c r="F315" s="859"/>
      <c r="G315" s="859"/>
      <c r="H315" s="862">
        <f>H314*0.13615</f>
        <v>269.71314999999998</v>
      </c>
      <c r="I315" s="622"/>
      <c r="J315" s="622"/>
    </row>
    <row r="316" spans="1:10">
      <c r="A316" s="718"/>
      <c r="B316" s="859"/>
      <c r="C316" s="859"/>
      <c r="D316" s="859"/>
      <c r="E316" s="863"/>
      <c r="F316" s="859"/>
      <c r="G316" s="859"/>
      <c r="H316" s="862">
        <f>SUM(H314:H315)</f>
        <v>2250.71315</v>
      </c>
      <c r="I316" s="622"/>
      <c r="J316" s="622"/>
    </row>
    <row r="317" spans="1:10">
      <c r="A317" s="718"/>
      <c r="B317" s="870"/>
      <c r="C317" s="873">
        <v>2250.71</v>
      </c>
      <c r="D317" s="873"/>
      <c r="E317" s="873"/>
      <c r="F317" s="873"/>
      <c r="G317" s="873"/>
      <c r="H317" s="873"/>
      <c r="I317" s="622"/>
      <c r="J317" s="622"/>
    </row>
    <row r="318" spans="1:10">
      <c r="A318" s="718"/>
      <c r="B318" s="858" t="s">
        <v>694</v>
      </c>
      <c r="C318" s="866"/>
      <c r="D318" s="866">
        <v>16.010000000000002</v>
      </c>
      <c r="E318" s="866">
        <f>C317*16.01%</f>
        <v>360.33867100000003</v>
      </c>
      <c r="F318" s="877"/>
      <c r="G318" s="877"/>
      <c r="H318" s="877"/>
      <c r="I318" s="622"/>
      <c r="J318" s="622"/>
    </row>
    <row r="319" spans="1:10">
      <c r="A319" s="718"/>
      <c r="B319" s="867" t="s">
        <v>113</v>
      </c>
      <c r="C319" s="859"/>
      <c r="D319" s="859"/>
      <c r="E319" s="868">
        <f>C317-E318</f>
        <v>1890.3713290000001</v>
      </c>
      <c r="F319" s="859"/>
      <c r="G319" s="859"/>
      <c r="H319" s="859"/>
      <c r="I319" s="622"/>
      <c r="J319" s="622"/>
    </row>
    <row r="320" spans="1:10" ht="60">
      <c r="A320" s="718">
        <v>43</v>
      </c>
      <c r="B320" s="869" t="s">
        <v>96</v>
      </c>
      <c r="C320" s="878"/>
      <c r="D320" s="878"/>
      <c r="E320" s="878"/>
      <c r="F320" s="878"/>
      <c r="G320" s="878"/>
      <c r="H320" s="878"/>
      <c r="I320" s="622"/>
      <c r="J320" s="622"/>
    </row>
    <row r="321" spans="1:10" ht="15" customHeight="1">
      <c r="A321" s="718"/>
      <c r="B321" s="859"/>
      <c r="C321" s="861" t="s">
        <v>108</v>
      </c>
      <c r="D321" s="861"/>
      <c r="E321" s="861"/>
      <c r="F321" s="861"/>
      <c r="G321" s="861"/>
      <c r="H321" s="861"/>
      <c r="I321" s="622"/>
      <c r="J321" s="622"/>
    </row>
    <row r="322" spans="1:10">
      <c r="A322" s="718"/>
      <c r="B322" s="859" t="s">
        <v>120</v>
      </c>
      <c r="C322" s="859" t="s">
        <v>121</v>
      </c>
      <c r="D322" s="859"/>
      <c r="E322" s="862">
        <v>135</v>
      </c>
      <c r="F322" s="859">
        <v>1</v>
      </c>
      <c r="G322" s="859" t="s">
        <v>41</v>
      </c>
      <c r="H322" s="862">
        <v>135</v>
      </c>
      <c r="I322" s="829" t="s">
        <v>934</v>
      </c>
      <c r="J322" s="830"/>
    </row>
    <row r="323" spans="1:10">
      <c r="A323" s="718"/>
      <c r="B323" s="859" t="s">
        <v>106</v>
      </c>
      <c r="C323" s="859"/>
      <c r="D323" s="859"/>
      <c r="E323" s="863">
        <v>0.13614999999999999</v>
      </c>
      <c r="F323" s="859"/>
      <c r="G323" s="859"/>
      <c r="H323" s="862">
        <f>H322*0.13615</f>
        <v>18.38025</v>
      </c>
      <c r="I323" s="622"/>
      <c r="J323" s="622"/>
    </row>
    <row r="324" spans="1:10">
      <c r="A324" s="718"/>
      <c r="B324" s="859"/>
      <c r="C324" s="859"/>
      <c r="D324" s="859"/>
      <c r="E324" s="863"/>
      <c r="F324" s="859"/>
      <c r="G324" s="859"/>
      <c r="H324" s="862">
        <f>SUM(H322:H323)</f>
        <v>153.38024999999999</v>
      </c>
      <c r="I324" s="622"/>
      <c r="J324" s="622"/>
    </row>
    <row r="325" spans="1:10">
      <c r="A325" s="718"/>
      <c r="B325" s="870" t="s">
        <v>122</v>
      </c>
      <c r="C325" s="873">
        <v>153.38</v>
      </c>
      <c r="D325" s="873"/>
      <c r="E325" s="873"/>
      <c r="F325" s="873"/>
      <c r="G325" s="873"/>
      <c r="H325" s="873"/>
      <c r="I325" s="622"/>
      <c r="J325" s="622"/>
    </row>
    <row r="326" spans="1:10">
      <c r="A326" s="718"/>
      <c r="B326" s="858" t="s">
        <v>694</v>
      </c>
      <c r="C326" s="866"/>
      <c r="D326" s="866">
        <v>16.010000000000002</v>
      </c>
      <c r="E326" s="866">
        <f>C325*16.01%</f>
        <v>24.556138000000001</v>
      </c>
      <c r="F326" s="877"/>
      <c r="G326" s="877"/>
      <c r="H326" s="877"/>
      <c r="I326" s="622"/>
      <c r="J326" s="622"/>
    </row>
    <row r="327" spans="1:10">
      <c r="A327" s="718"/>
      <c r="B327" s="867" t="s">
        <v>122</v>
      </c>
      <c r="C327" s="859"/>
      <c r="D327" s="859"/>
      <c r="E327" s="868">
        <f>C325-E326</f>
        <v>128.82386199999999</v>
      </c>
      <c r="F327" s="859"/>
      <c r="G327" s="859"/>
      <c r="H327" s="859"/>
      <c r="I327" s="622"/>
      <c r="J327" s="622"/>
    </row>
    <row r="328" spans="1:10" ht="15" customHeight="1">
      <c r="A328" s="718">
        <v>44</v>
      </c>
      <c r="B328" s="879" t="s">
        <v>97</v>
      </c>
      <c r="C328" s="879"/>
      <c r="D328" s="879"/>
      <c r="E328" s="879"/>
      <c r="F328" s="879"/>
      <c r="G328" s="879"/>
      <c r="H328" s="879"/>
      <c r="I328" s="622"/>
      <c r="J328" s="622"/>
    </row>
    <row r="329" spans="1:10">
      <c r="A329" s="718"/>
      <c r="B329" s="859"/>
      <c r="C329" s="861" t="s">
        <v>111</v>
      </c>
      <c r="D329" s="861"/>
      <c r="E329" s="861"/>
      <c r="F329" s="861"/>
      <c r="G329" s="861"/>
      <c r="H329" s="861"/>
      <c r="I329" s="622"/>
      <c r="J329" s="622"/>
    </row>
    <row r="330" spans="1:10">
      <c r="A330" s="718"/>
      <c r="B330" s="859" t="s">
        <v>124</v>
      </c>
      <c r="C330" s="859"/>
      <c r="D330" s="859"/>
      <c r="E330" s="862">
        <v>117</v>
      </c>
      <c r="F330" s="859">
        <v>1</v>
      </c>
      <c r="G330" s="859" t="s">
        <v>2</v>
      </c>
      <c r="H330" s="862">
        <v>117</v>
      </c>
      <c r="I330" s="829" t="s">
        <v>934</v>
      </c>
      <c r="J330" s="830"/>
    </row>
    <row r="331" spans="1:10">
      <c r="A331" s="718"/>
      <c r="B331" s="859" t="s">
        <v>106</v>
      </c>
      <c r="C331" s="859"/>
      <c r="D331" s="859"/>
      <c r="E331" s="863">
        <v>0.13614999999999999</v>
      </c>
      <c r="F331" s="859"/>
      <c r="G331" s="859"/>
      <c r="H331" s="862">
        <f>H330*0.13615</f>
        <v>15.929549999999999</v>
      </c>
      <c r="I331" s="622"/>
      <c r="J331" s="622"/>
    </row>
    <row r="332" spans="1:10">
      <c r="A332" s="718"/>
      <c r="B332" s="859"/>
      <c r="C332" s="859"/>
      <c r="D332" s="859"/>
      <c r="E332" s="863"/>
      <c r="F332" s="859"/>
      <c r="G332" s="859"/>
      <c r="H332" s="862">
        <f>SUM(H330:H331)</f>
        <v>132.92955000000001</v>
      </c>
      <c r="I332" s="622"/>
      <c r="J332" s="622"/>
    </row>
    <row r="333" spans="1:10">
      <c r="A333" s="718"/>
      <c r="B333" s="870"/>
      <c r="C333" s="873">
        <v>132.93</v>
      </c>
      <c r="D333" s="873"/>
      <c r="E333" s="873"/>
      <c r="F333" s="873"/>
      <c r="G333" s="873"/>
      <c r="H333" s="873"/>
      <c r="I333" s="622"/>
      <c r="J333" s="622"/>
    </row>
    <row r="334" spans="1:10">
      <c r="A334" s="718"/>
      <c r="B334" s="858" t="s">
        <v>694</v>
      </c>
      <c r="C334" s="866"/>
      <c r="D334" s="866">
        <v>16.010000000000002</v>
      </c>
      <c r="E334" s="866">
        <f>C333*16.01%</f>
        <v>21.282093000000003</v>
      </c>
      <c r="F334" s="877"/>
      <c r="G334" s="877"/>
      <c r="H334" s="877"/>
      <c r="I334" s="622"/>
      <c r="J334" s="622"/>
    </row>
    <row r="335" spans="1:10">
      <c r="A335" s="718"/>
      <c r="B335" s="867" t="s">
        <v>113</v>
      </c>
      <c r="C335" s="859"/>
      <c r="D335" s="859"/>
      <c r="E335" s="868">
        <f>C333-E334</f>
        <v>111.647907</v>
      </c>
      <c r="F335" s="859"/>
      <c r="G335" s="859"/>
      <c r="H335" s="859"/>
      <c r="I335" s="622"/>
      <c r="J335" s="622"/>
    </row>
    <row r="336" spans="1:10" ht="75">
      <c r="A336" s="718">
        <v>45</v>
      </c>
      <c r="B336" s="869" t="s">
        <v>98</v>
      </c>
      <c r="C336" s="875"/>
      <c r="D336" s="875"/>
      <c r="E336" s="875"/>
      <c r="F336" s="875"/>
      <c r="G336" s="875"/>
      <c r="H336" s="876"/>
      <c r="I336" s="622"/>
      <c r="J336" s="622"/>
    </row>
    <row r="337" spans="1:10" ht="15" customHeight="1">
      <c r="A337" s="718"/>
      <c r="B337" s="859"/>
      <c r="C337" s="861" t="s">
        <v>108</v>
      </c>
      <c r="D337" s="861"/>
      <c r="E337" s="861"/>
      <c r="F337" s="861"/>
      <c r="G337" s="861"/>
      <c r="H337" s="861"/>
      <c r="I337" s="622"/>
      <c r="J337" s="622"/>
    </row>
    <row r="338" spans="1:10">
      <c r="A338" s="718"/>
      <c r="B338" s="859" t="s">
        <v>125</v>
      </c>
      <c r="C338" s="859"/>
      <c r="D338" s="859"/>
      <c r="E338" s="862">
        <v>204</v>
      </c>
      <c r="F338" s="859">
        <v>1</v>
      </c>
      <c r="G338" s="859" t="s">
        <v>2</v>
      </c>
      <c r="H338" s="862">
        <v>204</v>
      </c>
      <c r="I338" s="829" t="s">
        <v>934</v>
      </c>
      <c r="J338" s="830"/>
    </row>
    <row r="339" spans="1:10">
      <c r="A339" s="718"/>
      <c r="B339" s="859" t="s">
        <v>106</v>
      </c>
      <c r="C339" s="859"/>
      <c r="D339" s="859"/>
      <c r="E339" s="863">
        <v>0.13614999999999999</v>
      </c>
      <c r="F339" s="859"/>
      <c r="G339" s="859"/>
      <c r="H339" s="862">
        <f>H338*0.13615</f>
        <v>27.7746</v>
      </c>
      <c r="I339" s="622"/>
      <c r="J339" s="622"/>
    </row>
    <row r="340" spans="1:10">
      <c r="A340" s="718"/>
      <c r="B340" s="859"/>
      <c r="C340" s="859"/>
      <c r="D340" s="859"/>
      <c r="E340" s="863"/>
      <c r="F340" s="859"/>
      <c r="G340" s="859"/>
      <c r="H340" s="862">
        <f>SUM(H338:H339)</f>
        <v>231.77459999999999</v>
      </c>
      <c r="I340" s="622"/>
      <c r="J340" s="622"/>
    </row>
    <row r="341" spans="1:10">
      <c r="A341" s="718"/>
      <c r="B341" s="870"/>
      <c r="C341" s="873">
        <v>231.77</v>
      </c>
      <c r="D341" s="873"/>
      <c r="E341" s="873"/>
      <c r="F341" s="873"/>
      <c r="G341" s="873"/>
      <c r="H341" s="873"/>
      <c r="I341" s="622"/>
      <c r="J341" s="622"/>
    </row>
    <row r="342" spans="1:10">
      <c r="A342" s="718"/>
      <c r="B342" s="858" t="s">
        <v>694</v>
      </c>
      <c r="C342" s="866"/>
      <c r="D342" s="866">
        <v>16.010000000000002</v>
      </c>
      <c r="E342" s="866">
        <f>C341*16.01%</f>
        <v>37.106377000000009</v>
      </c>
      <c r="F342" s="877"/>
      <c r="G342" s="877"/>
      <c r="H342" s="877"/>
      <c r="I342" s="622"/>
      <c r="J342" s="622"/>
    </row>
    <row r="343" spans="1:10">
      <c r="A343" s="718"/>
      <c r="B343" s="867" t="s">
        <v>696</v>
      </c>
      <c r="C343" s="859"/>
      <c r="D343" s="859"/>
      <c r="E343" s="868">
        <f>C341-E342</f>
        <v>194.663623</v>
      </c>
      <c r="F343" s="859"/>
      <c r="G343" s="859"/>
      <c r="H343" s="859"/>
      <c r="I343" s="622"/>
      <c r="J343" s="622"/>
    </row>
    <row r="344" spans="1:10" ht="75">
      <c r="A344" s="718">
        <v>46</v>
      </c>
      <c r="B344" s="869" t="s">
        <v>99</v>
      </c>
      <c r="C344" s="875"/>
      <c r="D344" s="875"/>
      <c r="E344" s="875"/>
      <c r="F344" s="875"/>
      <c r="G344" s="875"/>
      <c r="H344" s="876"/>
      <c r="I344" s="622"/>
      <c r="J344" s="622"/>
    </row>
    <row r="345" spans="1:10" ht="15" customHeight="1">
      <c r="A345" s="718"/>
      <c r="B345" s="859"/>
      <c r="C345" s="861" t="s">
        <v>108</v>
      </c>
      <c r="D345" s="861"/>
      <c r="E345" s="861"/>
      <c r="F345" s="861"/>
      <c r="G345" s="861"/>
      <c r="H345" s="861"/>
      <c r="I345" s="622"/>
      <c r="J345" s="622"/>
    </row>
    <row r="346" spans="1:10">
      <c r="A346" s="718"/>
      <c r="B346" s="859" t="s">
        <v>126</v>
      </c>
      <c r="C346" s="859"/>
      <c r="D346" s="859"/>
      <c r="E346" s="862">
        <v>268</v>
      </c>
      <c r="F346" s="859">
        <v>1</v>
      </c>
      <c r="G346" s="859" t="s">
        <v>2</v>
      </c>
      <c r="H346" s="862">
        <v>268</v>
      </c>
      <c r="I346" s="829" t="s">
        <v>934</v>
      </c>
      <c r="J346" s="830"/>
    </row>
    <row r="347" spans="1:10">
      <c r="A347" s="718"/>
      <c r="B347" s="859" t="s">
        <v>106</v>
      </c>
      <c r="C347" s="859"/>
      <c r="D347" s="859"/>
      <c r="E347" s="863">
        <v>0.13614999999999999</v>
      </c>
      <c r="F347" s="859"/>
      <c r="G347" s="859"/>
      <c r="H347" s="862">
        <f>H346*0.13615</f>
        <v>36.488199999999999</v>
      </c>
      <c r="I347" s="622"/>
      <c r="J347" s="622"/>
    </row>
    <row r="348" spans="1:10">
      <c r="A348" s="718"/>
      <c r="B348" s="859"/>
      <c r="C348" s="859"/>
      <c r="D348" s="859"/>
      <c r="E348" s="863"/>
      <c r="F348" s="859"/>
      <c r="G348" s="859"/>
      <c r="H348" s="862">
        <f>SUM(H346:H347)</f>
        <v>304.48820000000001</v>
      </c>
      <c r="I348" s="622"/>
      <c r="J348" s="622"/>
    </row>
    <row r="349" spans="1:10">
      <c r="A349" s="718"/>
      <c r="B349" s="870"/>
      <c r="C349" s="873">
        <v>304.49</v>
      </c>
      <c r="D349" s="873"/>
      <c r="E349" s="873"/>
      <c r="F349" s="873"/>
      <c r="G349" s="873"/>
      <c r="H349" s="873"/>
      <c r="I349" s="622"/>
      <c r="J349" s="622"/>
    </row>
    <row r="350" spans="1:10">
      <c r="A350" s="718"/>
      <c r="B350" s="858" t="s">
        <v>694</v>
      </c>
      <c r="C350" s="866"/>
      <c r="D350" s="866">
        <v>16.010000000000002</v>
      </c>
      <c r="E350" s="866">
        <f>C349*16.01%</f>
        <v>48.748849000000007</v>
      </c>
      <c r="F350" s="877"/>
      <c r="G350" s="877"/>
      <c r="H350" s="877"/>
      <c r="I350" s="622"/>
      <c r="J350" s="622"/>
    </row>
    <row r="351" spans="1:10">
      <c r="A351" s="718"/>
      <c r="B351" s="867" t="s">
        <v>122</v>
      </c>
      <c r="C351" s="859"/>
      <c r="D351" s="859"/>
      <c r="E351" s="868">
        <f>C349-E350</f>
        <v>255.741151</v>
      </c>
      <c r="F351" s="859"/>
      <c r="G351" s="859"/>
      <c r="H351" s="859"/>
      <c r="I351" s="622"/>
      <c r="J351" s="622"/>
    </row>
    <row r="352" spans="1:10" ht="75">
      <c r="A352" s="718">
        <v>47</v>
      </c>
      <c r="B352" s="869" t="s">
        <v>100</v>
      </c>
      <c r="C352" s="875"/>
      <c r="D352" s="875"/>
      <c r="E352" s="875"/>
      <c r="F352" s="875"/>
      <c r="G352" s="875"/>
      <c r="H352" s="876"/>
      <c r="I352" s="622"/>
      <c r="J352" s="622"/>
    </row>
    <row r="353" spans="1:10" ht="15" customHeight="1">
      <c r="A353" s="718"/>
      <c r="B353" s="859"/>
      <c r="C353" s="861" t="s">
        <v>111</v>
      </c>
      <c r="D353" s="861"/>
      <c r="E353" s="861"/>
      <c r="F353" s="861"/>
      <c r="G353" s="861"/>
      <c r="H353" s="861"/>
      <c r="I353" s="829" t="s">
        <v>934</v>
      </c>
      <c r="J353" s="830"/>
    </row>
    <row r="354" spans="1:10">
      <c r="A354" s="718"/>
      <c r="B354" s="859" t="s">
        <v>127</v>
      </c>
      <c r="C354" s="859"/>
      <c r="D354" s="859"/>
      <c r="E354" s="862">
        <v>543</v>
      </c>
      <c r="F354" s="859">
        <v>1</v>
      </c>
      <c r="G354" s="859" t="s">
        <v>2</v>
      </c>
      <c r="H354" s="862">
        <v>543</v>
      </c>
      <c r="I354" s="622"/>
      <c r="J354" s="622"/>
    </row>
    <row r="355" spans="1:10">
      <c r="A355" s="718"/>
      <c r="B355" s="859" t="s">
        <v>106</v>
      </c>
      <c r="C355" s="859"/>
      <c r="D355" s="859"/>
      <c r="E355" s="863">
        <v>0.13614999999999999</v>
      </c>
      <c r="F355" s="859"/>
      <c r="G355" s="859"/>
      <c r="H355" s="862">
        <f>H354*0.13615</f>
        <v>73.929450000000003</v>
      </c>
      <c r="I355" s="622"/>
      <c r="J355" s="622"/>
    </row>
    <row r="356" spans="1:10">
      <c r="A356" s="718"/>
      <c r="B356" s="859"/>
      <c r="C356" s="859"/>
      <c r="D356" s="859"/>
      <c r="E356" s="863"/>
      <c r="F356" s="859"/>
      <c r="G356" s="859"/>
      <c r="H356" s="862">
        <f>SUM(H354:H355)</f>
        <v>616.92944999999997</v>
      </c>
      <c r="I356" s="622"/>
      <c r="J356" s="622"/>
    </row>
    <row r="357" spans="1:10">
      <c r="A357" s="718"/>
      <c r="B357" s="870"/>
      <c r="C357" s="873">
        <v>616.92999999999995</v>
      </c>
      <c r="D357" s="873"/>
      <c r="E357" s="873"/>
      <c r="F357" s="873"/>
      <c r="G357" s="873"/>
      <c r="H357" s="873"/>
      <c r="I357" s="622"/>
      <c r="J357" s="622"/>
    </row>
    <row r="358" spans="1:10">
      <c r="A358" s="718"/>
      <c r="B358" s="858" t="s">
        <v>694</v>
      </c>
      <c r="C358" s="866"/>
      <c r="D358" s="866">
        <v>16.010000000000002</v>
      </c>
      <c r="E358" s="866">
        <f>C357*16.01%</f>
        <v>98.770493000000002</v>
      </c>
      <c r="F358" s="877"/>
      <c r="G358" s="877"/>
      <c r="H358" s="877"/>
      <c r="I358" s="622"/>
      <c r="J358" s="622"/>
    </row>
    <row r="359" spans="1:10">
      <c r="A359" s="718"/>
      <c r="B359" s="867" t="s">
        <v>113</v>
      </c>
      <c r="C359" s="859"/>
      <c r="D359" s="859"/>
      <c r="E359" s="868">
        <f>C357-E358</f>
        <v>518.15950699999996</v>
      </c>
      <c r="F359" s="859"/>
      <c r="G359" s="859"/>
      <c r="H359" s="859"/>
      <c r="I359" s="622"/>
      <c r="J359" s="622"/>
    </row>
    <row r="360" spans="1:10" ht="45">
      <c r="A360" s="718">
        <v>48</v>
      </c>
      <c r="B360" s="869" t="s">
        <v>101</v>
      </c>
      <c r="C360" s="875"/>
      <c r="D360" s="875"/>
      <c r="E360" s="875"/>
      <c r="F360" s="875"/>
      <c r="G360" s="875"/>
      <c r="H360" s="876"/>
      <c r="I360" s="622"/>
      <c r="J360" s="622"/>
    </row>
    <row r="361" spans="1:10">
      <c r="A361" s="718"/>
      <c r="B361" s="859"/>
      <c r="C361" s="861" t="s">
        <v>111</v>
      </c>
      <c r="D361" s="861"/>
      <c r="E361" s="861"/>
      <c r="F361" s="861"/>
      <c r="G361" s="861"/>
      <c r="H361" s="861"/>
      <c r="I361" s="622"/>
      <c r="J361" s="622"/>
    </row>
    <row r="362" spans="1:10">
      <c r="A362" s="718"/>
      <c r="B362" s="859" t="s">
        <v>128</v>
      </c>
      <c r="C362" s="859"/>
      <c r="D362" s="859"/>
      <c r="E362" s="862">
        <v>568</v>
      </c>
      <c r="F362" s="859">
        <v>1</v>
      </c>
      <c r="G362" s="859" t="s">
        <v>2</v>
      </c>
      <c r="H362" s="862">
        <v>568</v>
      </c>
      <c r="I362" s="829" t="s">
        <v>934</v>
      </c>
      <c r="J362" s="830"/>
    </row>
    <row r="363" spans="1:10">
      <c r="A363" s="718"/>
      <c r="B363" s="859" t="s">
        <v>106</v>
      </c>
      <c r="C363" s="859"/>
      <c r="D363" s="859"/>
      <c r="E363" s="863">
        <v>0.13614999999999999</v>
      </c>
      <c r="F363" s="859"/>
      <c r="G363" s="859"/>
      <c r="H363" s="862">
        <f>H362*0.13615</f>
        <v>77.333199999999991</v>
      </c>
      <c r="I363" s="622"/>
      <c r="J363" s="622"/>
    </row>
    <row r="364" spans="1:10">
      <c r="A364" s="718"/>
      <c r="B364" s="859"/>
      <c r="C364" s="859"/>
      <c r="D364" s="859"/>
      <c r="E364" s="863"/>
      <c r="F364" s="859"/>
      <c r="G364" s="859"/>
      <c r="H364" s="862">
        <f>SUM(H362:H363)</f>
        <v>645.33320000000003</v>
      </c>
      <c r="I364" s="622"/>
      <c r="J364" s="622"/>
    </row>
    <row r="365" spans="1:10">
      <c r="A365" s="718"/>
      <c r="B365" s="870"/>
      <c r="C365" s="873">
        <v>645.33000000000004</v>
      </c>
      <c r="D365" s="873"/>
      <c r="E365" s="873"/>
      <c r="F365" s="873"/>
      <c r="G365" s="873"/>
      <c r="H365" s="873"/>
      <c r="I365" s="622"/>
      <c r="J365" s="622"/>
    </row>
    <row r="366" spans="1:10">
      <c r="A366" s="718"/>
      <c r="B366" s="858" t="s">
        <v>694</v>
      </c>
      <c r="C366" s="866"/>
      <c r="D366" s="866">
        <v>16.010000000000002</v>
      </c>
      <c r="E366" s="866">
        <f>C365*16.01%</f>
        <v>103.31733300000002</v>
      </c>
      <c r="F366" s="877"/>
      <c r="G366" s="877"/>
      <c r="H366" s="877"/>
      <c r="I366" s="622"/>
      <c r="J366" s="622"/>
    </row>
    <row r="367" spans="1:10">
      <c r="A367" s="718"/>
      <c r="B367" s="867" t="s">
        <v>113</v>
      </c>
      <c r="C367" s="859"/>
      <c r="D367" s="859"/>
      <c r="E367" s="868">
        <f>C365-E366</f>
        <v>542.01266699999996</v>
      </c>
      <c r="F367" s="859"/>
      <c r="G367" s="859"/>
      <c r="H367" s="859"/>
      <c r="I367" s="622"/>
      <c r="J367" s="622"/>
    </row>
    <row r="368" spans="1:10" ht="60">
      <c r="A368" s="718">
        <v>49</v>
      </c>
      <c r="B368" s="869" t="s">
        <v>102</v>
      </c>
      <c r="C368" s="875"/>
      <c r="D368" s="875"/>
      <c r="E368" s="875"/>
      <c r="F368" s="875"/>
      <c r="G368" s="875"/>
      <c r="H368" s="876"/>
      <c r="I368" s="622"/>
      <c r="J368" s="622"/>
    </row>
    <row r="369" spans="1:10">
      <c r="A369" s="718"/>
      <c r="B369" s="859"/>
      <c r="C369" s="861" t="s">
        <v>111</v>
      </c>
      <c r="D369" s="861"/>
      <c r="E369" s="861"/>
      <c r="F369" s="861"/>
      <c r="G369" s="861"/>
      <c r="H369" s="861"/>
      <c r="I369" s="829" t="s">
        <v>934</v>
      </c>
      <c r="J369" s="830"/>
    </row>
    <row r="370" spans="1:10">
      <c r="A370" s="718"/>
      <c r="B370" s="859" t="s">
        <v>129</v>
      </c>
      <c r="C370" s="859"/>
      <c r="D370" s="859"/>
      <c r="E370" s="862">
        <v>551</v>
      </c>
      <c r="F370" s="859">
        <v>1</v>
      </c>
      <c r="G370" s="859" t="s">
        <v>2</v>
      </c>
      <c r="H370" s="862">
        <v>551</v>
      </c>
      <c r="I370" s="622"/>
      <c r="J370" s="622"/>
    </row>
    <row r="371" spans="1:10">
      <c r="A371" s="718"/>
      <c r="B371" s="859" t="s">
        <v>106</v>
      </c>
      <c r="C371" s="859"/>
      <c r="D371" s="859"/>
      <c r="E371" s="863">
        <v>0.13614999999999999</v>
      </c>
      <c r="F371" s="859"/>
      <c r="G371" s="859"/>
      <c r="H371" s="862">
        <f>H370*0.13615</f>
        <v>75.018649999999994</v>
      </c>
      <c r="I371" s="622"/>
      <c r="J371" s="622"/>
    </row>
    <row r="372" spans="1:10">
      <c r="A372" s="718"/>
      <c r="B372" s="859"/>
      <c r="C372" s="859"/>
      <c r="D372" s="859"/>
      <c r="E372" s="863"/>
      <c r="F372" s="859"/>
      <c r="G372" s="859"/>
      <c r="H372" s="862">
        <f>SUM(H370:H371)</f>
        <v>626.01864999999998</v>
      </c>
      <c r="I372" s="622"/>
      <c r="J372" s="622"/>
    </row>
    <row r="373" spans="1:10">
      <c r="A373" s="718"/>
      <c r="B373" s="870"/>
      <c r="C373" s="873">
        <v>626.02</v>
      </c>
      <c r="D373" s="873"/>
      <c r="E373" s="873"/>
      <c r="F373" s="873"/>
      <c r="G373" s="873"/>
      <c r="H373" s="873"/>
      <c r="I373" s="622"/>
      <c r="J373" s="622"/>
    </row>
    <row r="374" spans="1:10">
      <c r="A374" s="718"/>
      <c r="B374" s="858" t="s">
        <v>694</v>
      </c>
      <c r="C374" s="866"/>
      <c r="D374" s="866">
        <v>16.010000000000002</v>
      </c>
      <c r="E374" s="866">
        <f>C373*16.01%</f>
        <v>100.22580200000002</v>
      </c>
      <c r="F374" s="877"/>
      <c r="G374" s="877"/>
      <c r="H374" s="877"/>
      <c r="I374" s="622"/>
      <c r="J374" s="622"/>
    </row>
    <row r="375" spans="1:10">
      <c r="A375" s="718"/>
      <c r="B375" s="867" t="s">
        <v>113</v>
      </c>
      <c r="C375" s="859"/>
      <c r="D375" s="859"/>
      <c r="E375" s="868">
        <f>C373-E374</f>
        <v>525.79419799999994</v>
      </c>
      <c r="F375" s="859"/>
      <c r="G375" s="859"/>
      <c r="H375" s="859"/>
      <c r="I375" s="622"/>
      <c r="J375" s="622"/>
    </row>
    <row r="376" spans="1:10" ht="45">
      <c r="A376" s="718">
        <v>50</v>
      </c>
      <c r="B376" s="869" t="s">
        <v>103</v>
      </c>
      <c r="C376" s="875"/>
      <c r="D376" s="875"/>
      <c r="E376" s="875"/>
      <c r="F376" s="875"/>
      <c r="G376" s="875"/>
      <c r="H376" s="876"/>
      <c r="I376" s="622"/>
      <c r="J376" s="622"/>
    </row>
    <row r="377" spans="1:10" ht="15" customHeight="1">
      <c r="A377" s="718"/>
      <c r="B377" s="859"/>
      <c r="C377" s="861" t="s">
        <v>111</v>
      </c>
      <c r="D377" s="861"/>
      <c r="E377" s="861"/>
      <c r="F377" s="861"/>
      <c r="G377" s="861"/>
      <c r="H377" s="861"/>
      <c r="I377" s="829" t="s">
        <v>934</v>
      </c>
      <c r="J377" s="830"/>
    </row>
    <row r="378" spans="1:10">
      <c r="A378" s="718"/>
      <c r="B378" s="859" t="s">
        <v>123</v>
      </c>
      <c r="C378" s="859"/>
      <c r="D378" s="859"/>
      <c r="E378" s="862">
        <v>95</v>
      </c>
      <c r="F378" s="859">
        <v>1</v>
      </c>
      <c r="G378" s="859" t="s">
        <v>2</v>
      </c>
      <c r="H378" s="862">
        <v>95</v>
      </c>
      <c r="I378" s="622"/>
      <c r="J378" s="622"/>
    </row>
    <row r="379" spans="1:10">
      <c r="A379" s="718"/>
      <c r="B379" s="859" t="s">
        <v>106</v>
      </c>
      <c r="C379" s="859"/>
      <c r="D379" s="859"/>
      <c r="E379" s="863">
        <v>0.13614999999999999</v>
      </c>
      <c r="F379" s="859"/>
      <c r="G379" s="859"/>
      <c r="H379" s="862">
        <v>12.934249999999999</v>
      </c>
      <c r="I379" s="622"/>
      <c r="J379" s="622"/>
    </row>
    <row r="380" spans="1:10">
      <c r="A380" s="718"/>
      <c r="B380" s="870"/>
      <c r="C380" s="873">
        <v>107.93424999999999</v>
      </c>
      <c r="D380" s="873"/>
      <c r="E380" s="873"/>
      <c r="F380" s="873"/>
      <c r="G380" s="873"/>
      <c r="H380" s="873"/>
      <c r="I380" s="622"/>
      <c r="J380" s="622"/>
    </row>
    <row r="381" spans="1:10">
      <c r="A381" s="718"/>
      <c r="B381" s="858" t="s">
        <v>694</v>
      </c>
      <c r="C381" s="866"/>
      <c r="D381" s="866">
        <v>16.010000000000002</v>
      </c>
      <c r="E381" s="866">
        <f>C380*16.01%</f>
        <v>17.280273425000001</v>
      </c>
      <c r="F381" s="877"/>
      <c r="G381" s="877"/>
      <c r="H381" s="877"/>
      <c r="I381" s="622"/>
      <c r="J381" s="622"/>
    </row>
    <row r="382" spans="1:10">
      <c r="A382" s="718"/>
      <c r="B382" s="867" t="s">
        <v>113</v>
      </c>
      <c r="C382" s="859"/>
      <c r="D382" s="859"/>
      <c r="E382" s="868">
        <f>C380-E381</f>
        <v>90.653976574999987</v>
      </c>
      <c r="F382" s="859"/>
      <c r="G382" s="859"/>
      <c r="H382" s="859"/>
      <c r="I382" s="622"/>
      <c r="J382" s="622"/>
    </row>
    <row r="383" spans="1:10" ht="120">
      <c r="A383" s="718">
        <v>51</v>
      </c>
      <c r="B383" s="869" t="s">
        <v>104</v>
      </c>
      <c r="C383" s="860"/>
      <c r="D383" s="860"/>
      <c r="E383" s="860"/>
      <c r="F383" s="860"/>
      <c r="G383" s="860"/>
      <c r="H383" s="876"/>
      <c r="I383" s="622"/>
      <c r="J383" s="622"/>
    </row>
    <row r="384" spans="1:10">
      <c r="A384" s="718"/>
      <c r="B384" s="859"/>
      <c r="C384" s="861" t="s">
        <v>130</v>
      </c>
      <c r="D384" s="861"/>
      <c r="E384" s="861"/>
      <c r="F384" s="861"/>
      <c r="G384" s="861"/>
      <c r="H384" s="861"/>
      <c r="I384" s="622"/>
      <c r="J384" s="622"/>
    </row>
    <row r="385" spans="1:10">
      <c r="A385" s="718"/>
      <c r="B385" s="859" t="s">
        <v>131</v>
      </c>
      <c r="C385" s="859"/>
      <c r="D385" s="859"/>
      <c r="E385" s="862">
        <v>7</v>
      </c>
      <c r="F385" s="859">
        <v>1</v>
      </c>
      <c r="G385" s="859" t="s">
        <v>132</v>
      </c>
      <c r="H385" s="862">
        <v>7</v>
      </c>
      <c r="I385" s="829" t="s">
        <v>934</v>
      </c>
      <c r="J385" s="830"/>
    </row>
    <row r="386" spans="1:10">
      <c r="A386" s="718"/>
      <c r="B386" s="859" t="s">
        <v>106</v>
      </c>
      <c r="C386" s="859"/>
      <c r="D386" s="859"/>
      <c r="E386" s="863">
        <v>0.13614999999999999</v>
      </c>
      <c r="F386" s="859"/>
      <c r="G386" s="859"/>
      <c r="H386" s="862">
        <f>H385*0.13615</f>
        <v>0.95304999999999995</v>
      </c>
      <c r="I386" s="622"/>
      <c r="J386" s="622"/>
    </row>
    <row r="387" spans="1:10">
      <c r="A387" s="718"/>
      <c r="B387" s="870"/>
      <c r="C387" s="873">
        <v>7.95</v>
      </c>
      <c r="D387" s="873"/>
      <c r="E387" s="873"/>
      <c r="F387" s="873"/>
      <c r="G387" s="873"/>
      <c r="H387" s="873"/>
      <c r="I387" s="622"/>
      <c r="J387" s="622"/>
    </row>
    <row r="388" spans="1:10">
      <c r="A388" s="720"/>
      <c r="B388" s="858" t="s">
        <v>694</v>
      </c>
      <c r="C388" s="866"/>
      <c r="D388" s="866">
        <v>16.010000000000002</v>
      </c>
      <c r="E388" s="866">
        <f>C387*16.01%</f>
        <v>1.2727950000000001</v>
      </c>
      <c r="F388" s="880"/>
      <c r="G388" s="880"/>
      <c r="H388" s="880"/>
      <c r="I388" s="622"/>
      <c r="J388" s="622"/>
    </row>
    <row r="389" spans="1:10">
      <c r="A389" s="859"/>
      <c r="B389" s="867" t="s">
        <v>113</v>
      </c>
      <c r="C389" s="859"/>
      <c r="D389" s="859"/>
      <c r="E389" s="868">
        <f>C387-E388</f>
        <v>6.6772049999999998</v>
      </c>
      <c r="F389" s="859"/>
      <c r="G389" s="859"/>
      <c r="H389" s="859"/>
      <c r="I389" s="622"/>
      <c r="J389" s="622"/>
    </row>
    <row r="390" spans="1:10" ht="59.25" customHeight="1">
      <c r="A390" s="718">
        <v>52</v>
      </c>
      <c r="B390" s="881" t="s">
        <v>966</v>
      </c>
      <c r="C390" s="859"/>
      <c r="D390" s="859"/>
      <c r="E390" s="882"/>
      <c r="F390" s="859"/>
      <c r="G390" s="859"/>
      <c r="H390" s="859"/>
      <c r="I390" s="622"/>
      <c r="J390" s="622"/>
    </row>
    <row r="391" spans="1:10">
      <c r="A391" s="859"/>
      <c r="B391" s="622" t="s">
        <v>967</v>
      </c>
      <c r="C391" s="859"/>
      <c r="D391" s="859"/>
      <c r="E391" s="883">
        <v>2555</v>
      </c>
      <c r="F391" s="718">
        <v>1</v>
      </c>
      <c r="G391" s="718" t="s">
        <v>715</v>
      </c>
      <c r="H391" s="884">
        <f>F391*E391</f>
        <v>2555</v>
      </c>
      <c r="I391" s="829" t="s">
        <v>934</v>
      </c>
      <c r="J391" s="830"/>
    </row>
    <row r="392" spans="1:10">
      <c r="A392" s="859"/>
      <c r="B392" s="870" t="s">
        <v>106</v>
      </c>
      <c r="C392" s="859"/>
      <c r="D392" s="859"/>
      <c r="E392" s="885">
        <v>0.13614999999999999</v>
      </c>
      <c r="F392" s="859"/>
      <c r="G392" s="859"/>
      <c r="H392" s="884">
        <f>H391*0.13615</f>
        <v>347.86324999999999</v>
      </c>
      <c r="I392" s="622"/>
      <c r="J392" s="622"/>
    </row>
    <row r="393" spans="1:10">
      <c r="A393" s="859"/>
      <c r="B393" s="870"/>
      <c r="C393" s="859"/>
      <c r="D393" s="859"/>
      <c r="E393" s="882"/>
      <c r="F393" s="859"/>
      <c r="G393" s="859"/>
      <c r="H393" s="884">
        <f>SUM(H391:H392)</f>
        <v>2902.8632499999999</v>
      </c>
      <c r="I393" s="622"/>
      <c r="J393" s="622"/>
    </row>
    <row r="394" spans="1:10">
      <c r="A394" s="859"/>
      <c r="B394" s="870" t="s">
        <v>775</v>
      </c>
      <c r="C394" s="859"/>
      <c r="D394" s="859"/>
      <c r="E394" s="886">
        <v>0.16009999999999999</v>
      </c>
      <c r="F394" s="859"/>
      <c r="G394" s="859"/>
      <c r="H394" s="884">
        <f>H393*0.1601</f>
        <v>464.74840632499996</v>
      </c>
      <c r="I394" s="622"/>
      <c r="J394" s="622"/>
    </row>
    <row r="395" spans="1:10">
      <c r="A395" s="859"/>
      <c r="B395" s="870"/>
      <c r="C395" s="859"/>
      <c r="D395" s="859"/>
      <c r="E395" s="882"/>
      <c r="F395" s="859"/>
      <c r="G395" s="859"/>
      <c r="H395" s="862">
        <f>H393-H394</f>
        <v>2438.114843675</v>
      </c>
      <c r="I395" s="622" t="s">
        <v>968</v>
      </c>
      <c r="J395" s="622"/>
    </row>
    <row r="396" spans="1:10">
      <c r="A396" s="622"/>
      <c r="B396" s="622" t="s">
        <v>773</v>
      </c>
      <c r="C396" s="622"/>
      <c r="D396" s="622"/>
      <c r="E396" s="622"/>
      <c r="F396" s="622"/>
      <c r="G396" s="622"/>
      <c r="H396" s="622"/>
      <c r="I396" s="622"/>
      <c r="J396" s="622"/>
    </row>
    <row r="397" spans="1:10" ht="36.75" customHeight="1">
      <c r="A397" s="677">
        <v>53</v>
      </c>
      <c r="B397" s="721" t="s">
        <v>772</v>
      </c>
      <c r="C397" s="722"/>
      <c r="D397" s="722"/>
      <c r="E397" s="722"/>
      <c r="F397" s="722"/>
      <c r="G397" s="722"/>
      <c r="H397" s="722"/>
      <c r="I397" s="722"/>
      <c r="J397" s="722"/>
    </row>
    <row r="398" spans="1:10">
      <c r="A398" s="622"/>
      <c r="B398" s="622" t="s">
        <v>935</v>
      </c>
      <c r="C398" s="622"/>
      <c r="D398" s="622"/>
      <c r="E398" s="622"/>
      <c r="F398" s="622"/>
      <c r="G398" s="622"/>
      <c r="H398" s="620" t="s">
        <v>936</v>
      </c>
    </row>
    <row r="399" spans="1:10">
      <c r="A399" s="622"/>
      <c r="B399" s="622" t="s">
        <v>181</v>
      </c>
      <c r="C399" s="55">
        <v>1</v>
      </c>
      <c r="D399" s="677" t="s">
        <v>2</v>
      </c>
      <c r="E399" s="592">
        <f>104000</f>
        <v>104000</v>
      </c>
      <c r="F399" s="677" t="s">
        <v>23</v>
      </c>
      <c r="G399" s="725">
        <f>E399*C399</f>
        <v>104000</v>
      </c>
      <c r="H399" s="622"/>
      <c r="I399" s="622"/>
    </row>
    <row r="400" spans="1:10">
      <c r="A400" s="622"/>
      <c r="B400" s="622" t="s">
        <v>774</v>
      </c>
      <c r="C400" s="622"/>
      <c r="D400" s="622"/>
      <c r="E400" s="622"/>
      <c r="F400" s="622"/>
      <c r="G400" s="725">
        <f>G399*0.05</f>
        <v>5200</v>
      </c>
      <c r="H400" s="622"/>
      <c r="I400" s="622"/>
      <c r="J400" s="622"/>
    </row>
    <row r="401" spans="1:10">
      <c r="A401" s="622"/>
      <c r="B401" s="622"/>
      <c r="C401" s="622"/>
      <c r="D401" s="622"/>
      <c r="E401" s="622"/>
      <c r="F401" s="622"/>
      <c r="G401" s="725">
        <f>SUM(G399:G400)</f>
        <v>109200</v>
      </c>
      <c r="H401" s="622"/>
      <c r="I401" s="622"/>
      <c r="J401" s="622"/>
    </row>
    <row r="402" spans="1:10">
      <c r="A402" s="622"/>
      <c r="B402" s="622" t="s">
        <v>366</v>
      </c>
      <c r="C402" s="677">
        <v>0.13614999999999999</v>
      </c>
      <c r="D402" s="677" t="s">
        <v>276</v>
      </c>
      <c r="E402" s="622"/>
      <c r="F402" s="622"/>
      <c r="G402" s="887">
        <f>G401*0.13615</f>
        <v>14867.58</v>
      </c>
      <c r="H402" s="622"/>
      <c r="I402" s="622"/>
      <c r="J402" s="622"/>
    </row>
    <row r="403" spans="1:10">
      <c r="A403" s="622"/>
      <c r="B403" s="622"/>
      <c r="C403" s="622"/>
      <c r="D403" s="622"/>
      <c r="E403" s="622"/>
      <c r="F403" s="622"/>
      <c r="G403" s="725">
        <f>SUM(G401:G402)</f>
        <v>124067.58</v>
      </c>
      <c r="H403" s="622"/>
      <c r="I403" s="622"/>
      <c r="J403" s="622"/>
    </row>
    <row r="404" spans="1:10">
      <c r="A404" s="622"/>
      <c r="B404" s="622" t="s">
        <v>775</v>
      </c>
      <c r="C404" s="677">
        <v>0.16009999999999999</v>
      </c>
      <c r="D404" s="677" t="s">
        <v>276</v>
      </c>
      <c r="E404" s="622"/>
      <c r="F404" s="622"/>
      <c r="G404" s="725">
        <f>G403*0.1601</f>
        <v>19863.219558000001</v>
      </c>
      <c r="H404" s="622"/>
      <c r="I404" s="622"/>
      <c r="J404" s="622"/>
    </row>
    <row r="405" spans="1:10">
      <c r="A405" s="622"/>
      <c r="B405" s="622"/>
      <c r="C405" s="622"/>
      <c r="D405" s="622"/>
      <c r="E405" s="622"/>
      <c r="F405" s="622"/>
      <c r="G405" s="594">
        <f>G403-G404</f>
        <v>104204.360442</v>
      </c>
      <c r="H405" s="620" t="s">
        <v>23</v>
      </c>
      <c r="I405" s="622"/>
      <c r="J405" s="622"/>
    </row>
    <row r="406" spans="1:10" ht="48.75" customHeight="1">
      <c r="A406" s="677">
        <v>54</v>
      </c>
      <c r="B406" s="411" t="s">
        <v>776</v>
      </c>
      <c r="C406" s="412"/>
      <c r="D406" s="412"/>
      <c r="E406" s="412"/>
      <c r="F406" s="412"/>
      <c r="G406" s="412"/>
      <c r="H406" s="412"/>
      <c r="I406" s="412"/>
      <c r="J406" s="412"/>
    </row>
    <row r="407" spans="1:10">
      <c r="A407" s="622"/>
      <c r="B407" s="622" t="s">
        <v>777</v>
      </c>
      <c r="C407" s="622"/>
      <c r="D407" s="622"/>
      <c r="E407" s="622"/>
      <c r="F407" s="622"/>
      <c r="G407" s="622"/>
      <c r="H407" s="622"/>
      <c r="I407" s="622"/>
      <c r="J407" s="622"/>
    </row>
    <row r="408" spans="1:10">
      <c r="A408" s="622"/>
      <c r="B408" s="622" t="s">
        <v>181</v>
      </c>
      <c r="C408" s="55">
        <v>1</v>
      </c>
      <c r="D408" s="677" t="s">
        <v>2</v>
      </c>
      <c r="E408" s="725">
        <v>175</v>
      </c>
      <c r="F408" s="677" t="s">
        <v>23</v>
      </c>
      <c r="G408" s="725">
        <f>E408*C408</f>
        <v>175</v>
      </c>
      <c r="H408" s="622"/>
      <c r="I408" s="622"/>
      <c r="J408" s="622"/>
    </row>
    <row r="409" spans="1:10">
      <c r="A409" s="622"/>
      <c r="B409" s="622" t="s">
        <v>366</v>
      </c>
      <c r="C409" s="677">
        <v>0.13614999999999999</v>
      </c>
      <c r="D409" s="677" t="s">
        <v>276</v>
      </c>
      <c r="E409" s="622"/>
      <c r="F409" s="622"/>
      <c r="G409" s="887">
        <f>G408*0.13615</f>
        <v>23.826249999999998</v>
      </c>
      <c r="H409" s="622"/>
      <c r="I409" s="622"/>
      <c r="J409" s="622"/>
    </row>
    <row r="410" spans="1:10">
      <c r="A410" s="622"/>
      <c r="B410" s="622"/>
      <c r="C410" s="622"/>
      <c r="D410" s="622"/>
      <c r="E410" s="622"/>
      <c r="F410" s="622"/>
      <c r="G410" s="725">
        <f>SUM(G408:G409)</f>
        <v>198.82624999999999</v>
      </c>
      <c r="H410" s="622"/>
      <c r="I410" s="622"/>
      <c r="J410" s="622"/>
    </row>
    <row r="411" spans="1:10">
      <c r="A411" s="622"/>
      <c r="B411" s="622" t="s">
        <v>775</v>
      </c>
      <c r="C411" s="677">
        <v>0.16009999999999999</v>
      </c>
      <c r="D411" s="677" t="s">
        <v>276</v>
      </c>
      <c r="E411" s="622"/>
      <c r="F411" s="622"/>
      <c r="G411" s="725">
        <f>G410*0.1601</f>
        <v>31.832082624999998</v>
      </c>
      <c r="H411" s="622"/>
      <c r="I411" s="622"/>
      <c r="J411" s="622"/>
    </row>
    <row r="412" spans="1:10">
      <c r="A412" s="622"/>
      <c r="B412" s="622"/>
      <c r="C412" s="622"/>
      <c r="D412" s="622"/>
      <c r="E412" s="622"/>
      <c r="F412" s="622"/>
      <c r="G412" s="726">
        <f>G410-G411</f>
        <v>166.99416737499999</v>
      </c>
      <c r="H412" s="620" t="s">
        <v>23</v>
      </c>
      <c r="I412" s="622"/>
      <c r="J412" s="622"/>
    </row>
    <row r="413" spans="1:10" ht="58.5" customHeight="1">
      <c r="A413" s="677">
        <v>55</v>
      </c>
      <c r="B413" s="721" t="s">
        <v>281</v>
      </c>
      <c r="C413" s="722"/>
      <c r="D413" s="722"/>
      <c r="E413" s="722"/>
      <c r="F413" s="722"/>
      <c r="G413" s="722"/>
      <c r="H413" s="722"/>
      <c r="I413" s="722"/>
      <c r="J413" s="722"/>
    </row>
    <row r="414" spans="1:10">
      <c r="A414" s="622"/>
      <c r="B414" s="622" t="s">
        <v>778</v>
      </c>
      <c r="C414" s="622"/>
      <c r="D414" s="622"/>
      <c r="E414" s="622"/>
      <c r="F414" s="622"/>
      <c r="G414" s="622"/>
      <c r="H414" s="622"/>
      <c r="I414" s="622"/>
      <c r="J414" s="622"/>
    </row>
    <row r="415" spans="1:10">
      <c r="A415" s="622"/>
      <c r="B415" s="622" t="s">
        <v>181</v>
      </c>
      <c r="C415" s="55">
        <v>1</v>
      </c>
      <c r="D415" s="677" t="s">
        <v>2</v>
      </c>
      <c r="E415" s="725">
        <v>56000</v>
      </c>
      <c r="F415" s="677" t="s">
        <v>23</v>
      </c>
      <c r="G415" s="725">
        <f>E415*C415</f>
        <v>56000</v>
      </c>
      <c r="H415" s="622"/>
      <c r="I415" s="622"/>
      <c r="J415" s="622"/>
    </row>
    <row r="416" spans="1:10">
      <c r="A416" s="622"/>
      <c r="B416" s="622" t="s">
        <v>774</v>
      </c>
      <c r="C416" s="622"/>
      <c r="D416" s="622"/>
      <c r="E416" s="622"/>
      <c r="F416" s="622"/>
      <c r="G416" s="725">
        <f>G415*0.05</f>
        <v>2800</v>
      </c>
      <c r="H416" s="622"/>
      <c r="I416" s="622"/>
      <c r="J416" s="622"/>
    </row>
    <row r="417" spans="1:10">
      <c r="A417" s="622"/>
      <c r="B417" s="622"/>
      <c r="C417" s="622"/>
      <c r="D417" s="622"/>
      <c r="E417" s="622"/>
      <c r="F417" s="622"/>
      <c r="G417" s="725">
        <f>SUM(G415:G416)</f>
        <v>58800</v>
      </c>
      <c r="H417" s="622"/>
      <c r="I417" s="622"/>
      <c r="J417" s="622"/>
    </row>
    <row r="418" spans="1:10">
      <c r="A418" s="622"/>
      <c r="B418" s="622" t="s">
        <v>366</v>
      </c>
      <c r="C418" s="677">
        <v>0.13614999999999999</v>
      </c>
      <c r="D418" s="677" t="s">
        <v>276</v>
      </c>
      <c r="E418" s="622"/>
      <c r="F418" s="622"/>
      <c r="G418" s="887">
        <f>G417*0.13615</f>
        <v>8005.62</v>
      </c>
      <c r="H418" s="622"/>
      <c r="I418" s="622"/>
      <c r="J418" s="622"/>
    </row>
    <row r="419" spans="1:10">
      <c r="A419" s="622"/>
      <c r="B419" s="622"/>
      <c r="C419" s="622"/>
      <c r="D419" s="622"/>
      <c r="E419" s="622"/>
      <c r="F419" s="622"/>
      <c r="G419" s="725">
        <f>SUM(G417:G418)</f>
        <v>66805.62</v>
      </c>
      <c r="H419" s="622"/>
      <c r="I419" s="622"/>
      <c r="J419" s="622"/>
    </row>
    <row r="420" spans="1:10">
      <c r="A420" s="622"/>
      <c r="B420" s="622" t="s">
        <v>775</v>
      </c>
      <c r="C420" s="677">
        <v>0.16009999999999999</v>
      </c>
      <c r="D420" s="677" t="s">
        <v>276</v>
      </c>
      <c r="E420" s="622"/>
      <c r="F420" s="622"/>
      <c r="G420" s="725">
        <f>G419*0.1601</f>
        <v>10695.579761999999</v>
      </c>
      <c r="H420" s="622"/>
      <c r="I420" s="622"/>
      <c r="J420" s="622"/>
    </row>
    <row r="421" spans="1:10">
      <c r="A421" s="622"/>
      <c r="B421" s="622"/>
      <c r="C421" s="622"/>
      <c r="D421" s="622"/>
      <c r="E421" s="622"/>
      <c r="F421" s="622"/>
      <c r="G421" s="726">
        <f>G419-G420</f>
        <v>56110.040237999994</v>
      </c>
      <c r="H421" s="620" t="s">
        <v>23</v>
      </c>
      <c r="I421" s="622"/>
      <c r="J421" s="622"/>
    </row>
    <row r="422" spans="1:10" ht="33.75" customHeight="1">
      <c r="A422" s="677">
        <v>56</v>
      </c>
      <c r="B422" s="411" t="s">
        <v>780</v>
      </c>
      <c r="C422" s="412"/>
      <c r="D422" s="412"/>
      <c r="E422" s="412"/>
      <c r="F422" s="412"/>
      <c r="G422" s="412"/>
      <c r="H422" s="412"/>
      <c r="I422" s="412"/>
      <c r="J422" s="412"/>
    </row>
    <row r="423" spans="1:10">
      <c r="A423" s="622"/>
      <c r="B423" s="622" t="s">
        <v>779</v>
      </c>
      <c r="C423" s="622"/>
      <c r="D423" s="622"/>
      <c r="E423" s="622"/>
      <c r="F423" s="622"/>
      <c r="G423" s="622"/>
      <c r="H423" s="888" t="s">
        <v>927</v>
      </c>
      <c r="I423" s="889"/>
      <c r="J423" s="889"/>
    </row>
    <row r="424" spans="1:10">
      <c r="A424" s="622"/>
      <c r="B424" s="622" t="s">
        <v>928</v>
      </c>
      <c r="C424" s="55">
        <v>1</v>
      </c>
      <c r="D424" s="677" t="s">
        <v>41</v>
      </c>
      <c r="E424" s="55">
        <v>310</v>
      </c>
      <c r="F424" s="677" t="s">
        <v>40</v>
      </c>
      <c r="G424" s="55">
        <f>C424*E424</f>
        <v>310</v>
      </c>
      <c r="H424" s="622"/>
      <c r="I424" s="622"/>
      <c r="J424" s="622"/>
    </row>
    <row r="425" spans="1:10">
      <c r="A425" s="622"/>
      <c r="B425" s="622" t="s">
        <v>781</v>
      </c>
      <c r="C425" s="622"/>
      <c r="D425" s="622"/>
      <c r="E425" s="622"/>
      <c r="F425" s="622"/>
      <c r="G425" s="891">
        <f>G424*0.3</f>
        <v>93</v>
      </c>
      <c r="H425" s="622"/>
      <c r="I425" s="622"/>
      <c r="J425" s="622"/>
    </row>
    <row r="426" spans="1:10">
      <c r="A426" s="622"/>
      <c r="B426" s="622"/>
      <c r="C426" s="622"/>
      <c r="D426" s="622"/>
      <c r="E426" s="622"/>
      <c r="F426" s="622"/>
      <c r="G426" s="55">
        <f>SUM(G424:G425)</f>
        <v>403</v>
      </c>
      <c r="H426" s="622"/>
      <c r="I426" s="622"/>
      <c r="J426" s="622"/>
    </row>
    <row r="427" spans="1:10">
      <c r="A427" s="622"/>
      <c r="B427" s="622" t="s">
        <v>774</v>
      </c>
      <c r="C427" s="622"/>
      <c r="D427" s="622"/>
      <c r="E427" s="622"/>
      <c r="F427" s="622"/>
      <c r="G427" s="55">
        <f>G426*0.05</f>
        <v>20.150000000000002</v>
      </c>
      <c r="H427" s="677"/>
      <c r="I427" s="622"/>
      <c r="J427" s="622"/>
    </row>
    <row r="428" spans="1:10">
      <c r="A428" s="622"/>
      <c r="B428" s="622"/>
      <c r="C428" s="622"/>
      <c r="D428" s="622"/>
      <c r="E428" s="622"/>
      <c r="F428" s="622"/>
      <c r="G428" s="55">
        <f>SUM(G426:G427)</f>
        <v>423.15</v>
      </c>
      <c r="H428" s="677"/>
      <c r="I428" s="622"/>
      <c r="J428" s="622"/>
    </row>
    <row r="429" spans="1:10">
      <c r="A429" s="622"/>
      <c r="B429" s="622" t="s">
        <v>366</v>
      </c>
      <c r="C429" s="677">
        <v>0.13614999999999999</v>
      </c>
      <c r="D429" s="677" t="s">
        <v>276</v>
      </c>
      <c r="E429" s="622"/>
      <c r="F429" s="622"/>
      <c r="G429" s="55">
        <f>G428*0.13615</f>
        <v>57.611872499999997</v>
      </c>
      <c r="H429" s="677"/>
      <c r="I429" s="622"/>
      <c r="J429" s="622"/>
    </row>
    <row r="430" spans="1:10">
      <c r="A430" s="622"/>
      <c r="B430" s="622"/>
      <c r="C430" s="622"/>
      <c r="D430" s="622"/>
      <c r="E430" s="622"/>
      <c r="F430" s="622"/>
      <c r="G430" s="55">
        <f>SUM(G428:G429)</f>
        <v>480.76187249999998</v>
      </c>
      <c r="H430" s="677"/>
      <c r="I430" s="622"/>
      <c r="J430" s="622"/>
    </row>
    <row r="431" spans="1:10">
      <c r="A431" s="622"/>
      <c r="B431" s="622" t="s">
        <v>775</v>
      </c>
      <c r="C431" s="677">
        <v>0.16009999999999999</v>
      </c>
      <c r="D431" s="677" t="s">
        <v>276</v>
      </c>
      <c r="E431" s="622"/>
      <c r="F431" s="622"/>
      <c r="G431" s="55">
        <f>G430*0.1601</f>
        <v>76.969975787249993</v>
      </c>
      <c r="H431" s="677"/>
      <c r="I431" s="622"/>
      <c r="J431" s="622"/>
    </row>
    <row r="432" spans="1:10">
      <c r="A432" s="622"/>
      <c r="B432" s="622"/>
      <c r="C432" s="622"/>
      <c r="D432" s="622"/>
      <c r="E432" s="622"/>
      <c r="F432" s="622"/>
      <c r="G432" s="593">
        <f>G430-G431</f>
        <v>403.79189671274997</v>
      </c>
      <c r="H432" s="892" t="s">
        <v>40</v>
      </c>
      <c r="I432" s="622"/>
      <c r="J432" s="622"/>
    </row>
    <row r="433" spans="1:10" ht="28.5" customHeight="1">
      <c r="A433" s="677">
        <v>57</v>
      </c>
      <c r="B433" s="411" t="s">
        <v>969</v>
      </c>
      <c r="C433" s="412"/>
      <c r="D433" s="412"/>
      <c r="E433" s="412"/>
      <c r="F433" s="412"/>
      <c r="G433" s="412"/>
      <c r="H433" s="412"/>
      <c r="I433" s="412"/>
      <c r="J433" s="412"/>
    </row>
    <row r="434" spans="1:10">
      <c r="A434" s="622"/>
      <c r="B434" s="724" t="s">
        <v>970</v>
      </c>
      <c r="C434" s="55">
        <v>1</v>
      </c>
      <c r="D434" s="677" t="s">
        <v>2</v>
      </c>
      <c r="E434" s="891">
        <v>14223</v>
      </c>
      <c r="F434" s="677" t="s">
        <v>23</v>
      </c>
      <c r="G434" s="593">
        <f>E434*C434</f>
        <v>14223</v>
      </c>
      <c r="H434" s="892"/>
      <c r="I434" s="622"/>
      <c r="J434" s="622"/>
    </row>
    <row r="435" spans="1:10">
      <c r="A435" s="622"/>
      <c r="B435" s="622" t="s">
        <v>774</v>
      </c>
      <c r="C435" s="622"/>
      <c r="D435" s="622"/>
      <c r="E435" s="622"/>
      <c r="F435" s="622"/>
      <c r="G435" s="55">
        <f>G434*0.05</f>
        <v>711.15000000000009</v>
      </c>
      <c r="H435" s="677"/>
      <c r="I435" s="622"/>
      <c r="J435" s="622"/>
    </row>
    <row r="436" spans="1:10">
      <c r="A436" s="622"/>
      <c r="B436" s="622"/>
      <c r="C436" s="622"/>
      <c r="D436" s="622"/>
      <c r="E436" s="622"/>
      <c r="F436" s="622"/>
      <c r="G436" s="55">
        <f>SUM(G434:G435)</f>
        <v>14934.15</v>
      </c>
      <c r="H436" s="677"/>
      <c r="I436" s="622"/>
      <c r="J436" s="622"/>
    </row>
    <row r="437" spans="1:10">
      <c r="A437" s="622"/>
      <c r="B437" s="622" t="s">
        <v>366</v>
      </c>
      <c r="C437" s="677">
        <v>0.13614999999999999</v>
      </c>
      <c r="D437" s="677" t="s">
        <v>276</v>
      </c>
      <c r="E437" s="622"/>
      <c r="F437" s="622"/>
      <c r="G437" s="55">
        <f>G436*0.13615</f>
        <v>2033.2845224999999</v>
      </c>
      <c r="H437" s="677"/>
      <c r="I437" s="622"/>
      <c r="J437" s="622"/>
    </row>
    <row r="438" spans="1:10">
      <c r="A438" s="622"/>
      <c r="B438" s="622"/>
      <c r="C438" s="622"/>
      <c r="D438" s="622"/>
      <c r="E438" s="622"/>
      <c r="F438" s="622"/>
      <c r="G438" s="55">
        <f>SUM(G436:G437)</f>
        <v>16967.4345225</v>
      </c>
      <c r="H438" s="677"/>
      <c r="I438" s="622"/>
      <c r="J438" s="622"/>
    </row>
    <row r="439" spans="1:10">
      <c r="A439" s="622"/>
      <c r="B439" s="622" t="s">
        <v>775</v>
      </c>
      <c r="C439" s="677">
        <v>0.16009999999999999</v>
      </c>
      <c r="D439" s="677" t="s">
        <v>276</v>
      </c>
      <c r="E439" s="622"/>
      <c r="F439" s="622"/>
      <c r="G439" s="55">
        <f>G438*0.1601</f>
        <v>2716.4862670522498</v>
      </c>
      <c r="H439" s="677"/>
      <c r="I439" s="622"/>
      <c r="J439" s="622"/>
    </row>
    <row r="440" spans="1:10">
      <c r="A440" s="622"/>
      <c r="B440" s="622"/>
      <c r="C440" s="622"/>
      <c r="D440" s="622"/>
      <c r="E440" s="622"/>
      <c r="F440" s="622"/>
      <c r="G440" s="593">
        <f>G438-G439</f>
        <v>14250.948255447751</v>
      </c>
      <c r="H440" s="892" t="s">
        <v>23</v>
      </c>
      <c r="I440" s="622"/>
      <c r="J440" s="622"/>
    </row>
    <row r="441" spans="1:10">
      <c r="A441" s="622"/>
      <c r="B441" s="893"/>
      <c r="C441" s="748"/>
      <c r="D441" s="748"/>
      <c r="E441" s="748"/>
      <c r="F441" s="748"/>
      <c r="G441" s="602"/>
      <c r="H441" s="894"/>
      <c r="I441" s="748"/>
      <c r="J441" s="748"/>
    </row>
    <row r="442" spans="1:10" ht="73.5" customHeight="1">
      <c r="A442" s="677">
        <v>58</v>
      </c>
      <c r="B442" s="721" t="s">
        <v>413</v>
      </c>
      <c r="C442" s="722"/>
      <c r="D442" s="722"/>
      <c r="E442" s="722"/>
      <c r="F442" s="722"/>
      <c r="G442" s="722"/>
      <c r="H442" s="722"/>
      <c r="I442" s="722"/>
      <c r="J442" s="722"/>
    </row>
    <row r="443" spans="1:10">
      <c r="A443" s="677" t="s">
        <v>208</v>
      </c>
      <c r="B443" s="620" t="s">
        <v>896</v>
      </c>
      <c r="C443" s="622"/>
      <c r="D443" s="622"/>
      <c r="E443" s="622"/>
      <c r="F443" s="622"/>
      <c r="G443" s="622"/>
      <c r="H443" s="622"/>
      <c r="I443" s="622"/>
      <c r="J443" s="622"/>
    </row>
    <row r="444" spans="1:10">
      <c r="A444" s="677"/>
      <c r="B444" s="622" t="s">
        <v>926</v>
      </c>
      <c r="C444" s="55">
        <v>1</v>
      </c>
      <c r="D444" s="677" t="s">
        <v>2</v>
      </c>
      <c r="E444" s="55">
        <v>19577</v>
      </c>
      <c r="F444" s="677" t="s">
        <v>23</v>
      </c>
      <c r="G444" s="55">
        <f>ROUND((C444*E444),2)</f>
        <v>19577</v>
      </c>
      <c r="H444" s="888" t="s">
        <v>925</v>
      </c>
      <c r="I444" s="889"/>
      <c r="J444" s="890"/>
    </row>
    <row r="445" spans="1:10">
      <c r="A445" s="677"/>
      <c r="B445" s="622" t="s">
        <v>365</v>
      </c>
      <c r="C445" s="622"/>
      <c r="D445" s="622"/>
      <c r="E445" s="622"/>
      <c r="F445" s="622"/>
      <c r="G445" s="677">
        <f>G444*0.05</f>
        <v>978.85</v>
      </c>
      <c r="H445" s="622"/>
      <c r="I445" s="622"/>
      <c r="J445" s="622"/>
    </row>
    <row r="446" spans="1:10">
      <c r="A446" s="677"/>
      <c r="B446" s="622"/>
      <c r="C446" s="622"/>
      <c r="D446" s="622"/>
      <c r="E446" s="622"/>
      <c r="F446" s="622"/>
      <c r="G446" s="55">
        <f>SUM(G444:G445)</f>
        <v>20555.849999999999</v>
      </c>
      <c r="H446" s="622"/>
      <c r="I446" s="622"/>
      <c r="J446" s="622"/>
    </row>
    <row r="447" spans="1:10" ht="31.5">
      <c r="A447" s="677"/>
      <c r="B447" s="119" t="s">
        <v>366</v>
      </c>
      <c r="C447" s="622"/>
      <c r="D447" s="622"/>
      <c r="E447" s="622"/>
      <c r="F447" s="622"/>
      <c r="G447" s="55">
        <f>G446*0.13615</f>
        <v>2798.6789774999997</v>
      </c>
      <c r="H447" s="622"/>
      <c r="I447" s="622"/>
      <c r="J447" s="622"/>
    </row>
    <row r="448" spans="1:10">
      <c r="A448" s="677"/>
      <c r="B448" s="622"/>
      <c r="C448" s="622"/>
      <c r="D448" s="622"/>
      <c r="E448" s="622"/>
      <c r="F448" s="622"/>
      <c r="G448" s="55">
        <f>SUM(G446:G447)</f>
        <v>23354.528977499998</v>
      </c>
      <c r="H448" s="622"/>
      <c r="I448" s="622"/>
      <c r="J448" s="622"/>
    </row>
    <row r="449" spans="1:10">
      <c r="A449" s="677"/>
      <c r="B449" s="622" t="s">
        <v>411</v>
      </c>
      <c r="C449" s="622"/>
      <c r="D449" s="622"/>
      <c r="E449" s="622"/>
      <c r="F449" s="622"/>
      <c r="G449" s="55">
        <f>G448*0.1601</f>
        <v>3739.0600892977495</v>
      </c>
      <c r="H449" s="725"/>
      <c r="I449" s="622"/>
      <c r="J449" s="622"/>
    </row>
    <row r="450" spans="1:10">
      <c r="A450" s="677"/>
      <c r="B450" s="622"/>
      <c r="C450" s="622"/>
      <c r="D450" s="622"/>
      <c r="E450" s="622"/>
      <c r="F450" s="622"/>
      <c r="G450" s="593">
        <f>G448-G449</f>
        <v>19615.468888202249</v>
      </c>
      <c r="H450" s="726" t="s">
        <v>23</v>
      </c>
      <c r="I450" s="622"/>
      <c r="J450" s="622"/>
    </row>
    <row r="451" spans="1:10" ht="33" customHeight="1">
      <c r="A451" s="677">
        <v>59</v>
      </c>
      <c r="B451" s="721" t="s">
        <v>364</v>
      </c>
      <c r="C451" s="722"/>
      <c r="D451" s="722"/>
      <c r="E451" s="722"/>
      <c r="F451" s="722"/>
      <c r="G451" s="722"/>
      <c r="H451" s="722"/>
      <c r="I451" s="722"/>
      <c r="J451" s="723"/>
    </row>
    <row r="452" spans="1:10">
      <c r="A452" s="677" t="s">
        <v>208</v>
      </c>
      <c r="B452" s="620" t="s">
        <v>367</v>
      </c>
      <c r="C452" s="622"/>
      <c r="D452" s="622"/>
      <c r="E452" s="622"/>
      <c r="F452" s="622"/>
      <c r="G452" s="622"/>
      <c r="H452" s="622"/>
      <c r="I452" s="622"/>
      <c r="J452" s="622"/>
    </row>
    <row r="453" spans="1:10">
      <c r="A453" s="622"/>
      <c r="B453" s="622" t="s">
        <v>923</v>
      </c>
      <c r="C453" s="55">
        <v>1</v>
      </c>
      <c r="D453" s="677" t="s">
        <v>2</v>
      </c>
      <c r="E453" s="55">
        <v>22784</v>
      </c>
      <c r="F453" s="677" t="s">
        <v>23</v>
      </c>
      <c r="G453" s="55">
        <f>ROUND((C453*E453),2)</f>
        <v>22784</v>
      </c>
      <c r="H453" s="888" t="s">
        <v>924</v>
      </c>
      <c r="I453" s="889"/>
      <c r="J453" s="890"/>
    </row>
    <row r="454" spans="1:10">
      <c r="A454" s="622"/>
      <c r="B454" s="622" t="s">
        <v>365</v>
      </c>
      <c r="C454" s="622"/>
      <c r="D454" s="622"/>
      <c r="E454" s="622"/>
      <c r="F454" s="622"/>
      <c r="G454" s="677">
        <f>G453*0.05</f>
        <v>1139.2</v>
      </c>
      <c r="H454" s="622"/>
      <c r="I454" s="622"/>
      <c r="J454" s="622"/>
    </row>
    <row r="455" spans="1:10">
      <c r="A455" s="622"/>
      <c r="B455" s="622"/>
      <c r="C455" s="622"/>
      <c r="D455" s="622"/>
      <c r="E455" s="622"/>
      <c r="F455" s="622"/>
      <c r="G455" s="55">
        <f>SUM(G453:G454)</f>
        <v>23923.200000000001</v>
      </c>
      <c r="H455" s="622"/>
      <c r="I455" s="622"/>
      <c r="J455" s="622"/>
    </row>
    <row r="456" spans="1:10">
      <c r="A456" s="622"/>
      <c r="B456" s="710" t="s">
        <v>415</v>
      </c>
      <c r="C456" s="622"/>
      <c r="D456" s="622"/>
      <c r="E456" s="622"/>
      <c r="F456" s="622"/>
      <c r="G456" s="55">
        <f>G455*0.13615</f>
        <v>3257.1436800000001</v>
      </c>
      <c r="H456" s="622"/>
      <c r="I456" s="622"/>
      <c r="J456" s="622"/>
    </row>
    <row r="457" spans="1:10">
      <c r="A457" s="622"/>
      <c r="B457" s="622"/>
      <c r="C457" s="622"/>
      <c r="D457" s="622"/>
      <c r="E457" s="622"/>
      <c r="F457" s="622"/>
      <c r="G457" s="55">
        <f>SUM(G455:G456)</f>
        <v>27180.343680000002</v>
      </c>
      <c r="H457" s="622"/>
      <c r="I457" s="622"/>
      <c r="J457" s="622"/>
    </row>
    <row r="458" spans="1:10">
      <c r="A458" s="622"/>
      <c r="B458" s="622" t="s">
        <v>411</v>
      </c>
      <c r="C458" s="622"/>
      <c r="D458" s="622"/>
      <c r="E458" s="622"/>
      <c r="F458" s="622"/>
      <c r="G458" s="55">
        <f>G457*0.1601</f>
        <v>4351.573023168</v>
      </c>
      <c r="H458" s="725"/>
      <c r="I458" s="622"/>
      <c r="J458" s="622"/>
    </row>
    <row r="459" spans="1:10">
      <c r="A459" s="622"/>
      <c r="B459" s="622"/>
      <c r="C459" s="622"/>
      <c r="D459" s="622"/>
      <c r="E459" s="622"/>
      <c r="F459" s="622"/>
      <c r="G459" s="593">
        <f>G457-G458</f>
        <v>22828.770656832003</v>
      </c>
      <c r="H459" s="895" t="s">
        <v>23</v>
      </c>
      <c r="I459" s="622"/>
      <c r="J459" s="622"/>
    </row>
  </sheetData>
  <mergeCells count="89">
    <mergeCell ref="I330:J330"/>
    <mergeCell ref="I338:J338"/>
    <mergeCell ref="I346:J346"/>
    <mergeCell ref="I353:J353"/>
    <mergeCell ref="I362:J362"/>
    <mergeCell ref="I287:J287"/>
    <mergeCell ref="I296:J296"/>
    <mergeCell ref="I307:J307"/>
    <mergeCell ref="I314:J314"/>
    <mergeCell ref="I322:J322"/>
    <mergeCell ref="H453:J453"/>
    <mergeCell ref="H444:J444"/>
    <mergeCell ref="H423:J423"/>
    <mergeCell ref="C199:H199"/>
    <mergeCell ref="C180:H180"/>
    <mergeCell ref="B240:J240"/>
    <mergeCell ref="B222:J222"/>
    <mergeCell ref="E223:G223"/>
    <mergeCell ref="B202:H202"/>
    <mergeCell ref="D203:E203"/>
    <mergeCell ref="C218:H218"/>
    <mergeCell ref="C219:H219"/>
    <mergeCell ref="B258:H258"/>
    <mergeCell ref="C259:H259"/>
    <mergeCell ref="C262:H262"/>
    <mergeCell ref="B422:J422"/>
    <mergeCell ref="B1:J1"/>
    <mergeCell ref="B23:J23"/>
    <mergeCell ref="B45:J45"/>
    <mergeCell ref="B98:J98"/>
    <mergeCell ref="B47:D47"/>
    <mergeCell ref="B19:J19"/>
    <mergeCell ref="B70:J70"/>
    <mergeCell ref="B79:J79"/>
    <mergeCell ref="B46:G46"/>
    <mergeCell ref="C313:H313"/>
    <mergeCell ref="C317:H317"/>
    <mergeCell ref="C321:H321"/>
    <mergeCell ref="B179:J179"/>
    <mergeCell ref="B2:J2"/>
    <mergeCell ref="B146:J146"/>
    <mergeCell ref="B110:J110"/>
    <mergeCell ref="B155:J155"/>
    <mergeCell ref="B129:J129"/>
    <mergeCell ref="B99:I99"/>
    <mergeCell ref="H147:J147"/>
    <mergeCell ref="I182:J182"/>
    <mergeCell ref="I203:J203"/>
    <mergeCell ref="I259:J259"/>
    <mergeCell ref="I269:J269"/>
    <mergeCell ref="I278:J278"/>
    <mergeCell ref="C290:H290"/>
    <mergeCell ref="C295:H295"/>
    <mergeCell ref="C302:H302"/>
    <mergeCell ref="C306:H306"/>
    <mergeCell ref="C309:H309"/>
    <mergeCell ref="C268:H268"/>
    <mergeCell ref="C273:H273"/>
    <mergeCell ref="C277:H277"/>
    <mergeCell ref="C281:H281"/>
    <mergeCell ref="C286:H286"/>
    <mergeCell ref="C325:H325"/>
    <mergeCell ref="B328:H328"/>
    <mergeCell ref="C329:H329"/>
    <mergeCell ref="C333:H333"/>
    <mergeCell ref="C337:H337"/>
    <mergeCell ref="I377:J377"/>
    <mergeCell ref="I385:J385"/>
    <mergeCell ref="C341:H341"/>
    <mergeCell ref="C345:H345"/>
    <mergeCell ref="C349:H349"/>
    <mergeCell ref="C353:H353"/>
    <mergeCell ref="C357:H357"/>
    <mergeCell ref="I391:J391"/>
    <mergeCell ref="B433:J433"/>
    <mergeCell ref="C361:H361"/>
    <mergeCell ref="B451:J451"/>
    <mergeCell ref="C384:H384"/>
    <mergeCell ref="C387:H387"/>
    <mergeCell ref="B442:J442"/>
    <mergeCell ref="C365:H365"/>
    <mergeCell ref="C369:H369"/>
    <mergeCell ref="C373:H373"/>
    <mergeCell ref="C377:H377"/>
    <mergeCell ref="C380:H380"/>
    <mergeCell ref="B397:J397"/>
    <mergeCell ref="B406:J406"/>
    <mergeCell ref="B413:J413"/>
    <mergeCell ref="I369:J369"/>
  </mergeCells>
  <pageMargins left="0.70866141732283472" right="0.31496062992125984" top="0.9055118110236221" bottom="0.74803149606299213" header="0.31496062992125984" footer="0.31496062992125984"/>
  <pageSetup paperSize="5" scale="70" orientation="portrait" verticalDpi="0" r:id="rId1"/>
  <headerFooter>
    <oddHeader>&amp;C
 Data panal room&amp;P</oddHeader>
  </headerFooter>
</worksheet>
</file>

<file path=xl/worksheets/sheet10.xml><?xml version="1.0" encoding="utf-8"?>
<worksheet xmlns="http://schemas.openxmlformats.org/spreadsheetml/2006/main" xmlns:r="http://schemas.openxmlformats.org/officeDocument/2006/relationships">
  <dimension ref="A1"/>
  <sheetViews>
    <sheetView workbookViewId="0">
      <selection activeCell="O23" sqref="O23"/>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OHT</vt:lpstr>
      <vt:lpstr>GLSR</vt:lpstr>
      <vt:lpstr>Pipeline</vt:lpstr>
      <vt:lpstr>Panal board</vt:lpstr>
      <vt:lpstr>General Abstract</vt:lpstr>
      <vt:lpstr>Report</vt:lpstr>
      <vt:lpstr>FIS</vt:lpstr>
      <vt:lpstr>Supplimentary Data Details</vt:lpstr>
      <vt:lpstr>Panal Board data</vt:lpstr>
      <vt:lpstr>Sheet1</vt:lpstr>
      <vt:lpstr>Sheet2</vt:lpstr>
      <vt:lpstr>FIS!Print_Area</vt:lpstr>
      <vt:lpstr>'General Abstract'!Print_Area</vt:lpstr>
      <vt:lpstr>'Panal Board data'!Print_Area</vt:lpstr>
      <vt:lpstr>'Supplimentary Data Details'!Print_Area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2020-12-21T06:25:31Z</dcterms:modified>
</cp:coreProperties>
</file>