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yas\Downloads\AI_XL_Agent (2)\AI_XL_Agent\data\"/>
    </mc:Choice>
  </mc:AlternateContent>
  <xr:revisionPtr revIDLastSave="0" documentId="13_ncr:1_{49161C6E-CC86-402D-9C9C-C5ABB9D305C6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Assumptions" sheetId="1" r:id="rId1"/>
    <sheet name="IncomeStmt" sheetId="2" r:id="rId2"/>
    <sheet name="CashFlow" sheetId="3" r:id="rId3"/>
    <sheet name="Valuation" sheetId="4" r:id="rId4"/>
    <sheet name="Quarterly_2024" sheetId="5" r:id="rId5"/>
    <sheet name="Data" sheetId="6" r:id="rId6"/>
  </sheets>
  <definedNames>
    <definedName name="Capex_Percent">Assumptions!$B$7</definedName>
    <definedName name="DA_Percent">Assumptions!$B$6</definedName>
    <definedName name="EBITDA_Margin">Assumptions!$B$5</definedName>
    <definedName name="NetDebt">Assumptions!$B$9</definedName>
    <definedName name="NWC_Percent">Assumptions!$B$8</definedName>
    <definedName name="SharesOut">Assumptions!$B$10</definedName>
    <definedName name="TaxRate">Assumptions!$B$4</definedName>
    <definedName name="TerminalGrowth">Assumptions!$B$3</definedName>
    <definedName name="WACC">Assumptions!$B$2</definedName>
  </definedNames>
  <calcPr calcId="191029"/>
</workbook>
</file>

<file path=xl/calcChain.xml><?xml version="1.0" encoding="utf-8"?>
<calcChain xmlns="http://schemas.openxmlformats.org/spreadsheetml/2006/main">
  <c r="E4" i="5" l="1"/>
  <c r="E6" i="5" s="1"/>
  <c r="D4" i="5"/>
  <c r="D6" i="5" s="1"/>
  <c r="C4" i="5"/>
  <c r="C6" i="5" s="1"/>
  <c r="B4" i="5"/>
  <c r="B6" i="5" s="1"/>
  <c r="H3" i="4"/>
  <c r="G3" i="4"/>
  <c r="F3" i="4"/>
  <c r="E3" i="4"/>
  <c r="D3" i="4"/>
  <c r="C3" i="4"/>
  <c r="B3" i="4"/>
  <c r="E5" i="3"/>
  <c r="D5" i="3"/>
  <c r="C5" i="3"/>
  <c r="B5" i="3"/>
  <c r="F4" i="3"/>
  <c r="E4" i="3"/>
  <c r="D4" i="3"/>
  <c r="C4" i="3"/>
  <c r="G3" i="3"/>
  <c r="F3" i="3"/>
  <c r="B3" i="3"/>
  <c r="F5" i="2"/>
  <c r="F2" i="3" s="1"/>
  <c r="D5" i="2"/>
  <c r="D2" i="3" s="1"/>
  <c r="D6" i="3" s="1"/>
  <c r="D2" i="4" s="1"/>
  <c r="G4" i="2"/>
  <c r="F4" i="2"/>
  <c r="E4" i="2"/>
  <c r="E3" i="3" s="1"/>
  <c r="D4" i="2"/>
  <c r="D3" i="3" s="1"/>
  <c r="C4" i="2"/>
  <c r="C3" i="3" s="1"/>
  <c r="B4" i="2"/>
  <c r="F3" i="2"/>
  <c r="E3" i="2"/>
  <c r="E5" i="2" s="1"/>
  <c r="E2" i="3" s="1"/>
  <c r="E6" i="3" s="1"/>
  <c r="E2" i="4" s="1"/>
  <c r="E4" i="4" s="1"/>
  <c r="D3" i="2"/>
  <c r="C3" i="2"/>
  <c r="C5" i="2" s="1"/>
  <c r="C2" i="3" s="1"/>
  <c r="B3" i="2"/>
  <c r="B5" i="2" s="1"/>
  <c r="B2" i="3" s="1"/>
  <c r="B6" i="3" s="1"/>
  <c r="B2" i="4" s="1"/>
  <c r="G2" i="2"/>
  <c r="G4" i="3" s="1"/>
  <c r="F2" i="2"/>
  <c r="F5" i="3" s="1"/>
  <c r="B4" i="4" l="1"/>
  <c r="D4" i="4"/>
  <c r="F6" i="3"/>
  <c r="F2" i="4" s="1"/>
  <c r="F4" i="4" s="1"/>
  <c r="C6" i="3"/>
  <c r="C2" i="4" s="1"/>
  <c r="C4" i="4" s="1"/>
  <c r="G3" i="2"/>
  <c r="G5" i="2" s="1"/>
  <c r="G2" i="3" s="1"/>
  <c r="G5" i="3"/>
  <c r="H2" i="2"/>
  <c r="H5" i="3" l="1"/>
  <c r="H3" i="2"/>
  <c r="H4" i="2"/>
  <c r="H3" i="3" s="1"/>
  <c r="H4" i="3"/>
  <c r="G6" i="3"/>
  <c r="G2" i="4" s="1"/>
  <c r="G4" i="4" s="1"/>
  <c r="H5" i="2" l="1"/>
  <c r="H2" i="3" s="1"/>
  <c r="H6" i="3" s="1"/>
  <c r="H2" i="4" s="1"/>
  <c r="I5" i="4" l="1"/>
  <c r="I6" i="4" s="1"/>
  <c r="H4" i="4"/>
  <c r="I7" i="4" l="1"/>
  <c r="I8" i="4" s="1"/>
  <c r="I9" i="4" s="1"/>
</calcChain>
</file>

<file path=xl/sharedStrings.xml><?xml version="1.0" encoding="utf-8"?>
<sst xmlns="http://schemas.openxmlformats.org/spreadsheetml/2006/main" count="82" uniqueCount="63">
  <si>
    <t>Name</t>
  </si>
  <si>
    <t>Value</t>
  </si>
  <si>
    <t>Notes</t>
  </si>
  <si>
    <t>WACC</t>
  </si>
  <si>
    <t>Weighted Avg. Cost of Capital</t>
  </si>
  <si>
    <t>TerminalGrowth</t>
  </si>
  <si>
    <t>Long-term perpetual growth</t>
  </si>
  <si>
    <t>TaxRate</t>
  </si>
  <si>
    <t>Effective cash tax rate</t>
  </si>
  <si>
    <t>EBITDA_Margin</t>
  </si>
  <si>
    <t>EBITDA as % of revenue</t>
  </si>
  <si>
    <t>DA_Percent</t>
  </si>
  <si>
    <t>D&amp;A as % of revenue</t>
  </si>
  <si>
    <t>Capex_Percent</t>
  </si>
  <si>
    <t>CapEx as % of revenue</t>
  </si>
  <si>
    <t>NWC_Percent</t>
  </si>
  <si>
    <t>Net Working Capital as % of revenue</t>
  </si>
  <si>
    <t>NetDebt</t>
  </si>
  <si>
    <t>Debt minus cash (in $mm)</t>
  </si>
  <si>
    <t>SharesOut</t>
  </si>
  <si>
    <t>Shares outstanding (mm)</t>
  </si>
  <si>
    <t>Line Item</t>
  </si>
  <si>
    <t>Revenue</t>
  </si>
  <si>
    <t>EBITDA</t>
  </si>
  <si>
    <t>D&amp;A</t>
  </si>
  <si>
    <t>EBIT</t>
  </si>
  <si>
    <t>NOPAT</t>
  </si>
  <si>
    <t>Change in NWC</t>
  </si>
  <si>
    <t>CapEx</t>
  </si>
  <si>
    <t>Unlevered FCF</t>
  </si>
  <si>
    <t>Item</t>
  </si>
  <si>
    <t>TV/Notes</t>
  </si>
  <si>
    <t>Discount Factor</t>
  </si>
  <si>
    <t>PV of FCF</t>
  </si>
  <si>
    <t>Terminal Value (Gordon)</t>
  </si>
  <si>
    <t>PV of Terminal Value</t>
  </si>
  <si>
    <t>Enterprise Value</t>
  </si>
  <si>
    <t>Equity Value</t>
  </si>
  <si>
    <t>Implied Price per Share</t>
  </si>
  <si>
    <t>Metric</t>
  </si>
  <si>
    <t>Q1-2024</t>
  </si>
  <si>
    <t>Q2-2024</t>
  </si>
  <si>
    <t>Q3-2024</t>
  </si>
  <si>
    <t>Q4-2024</t>
  </si>
  <si>
    <t>COGS</t>
  </si>
  <si>
    <t>Gross Profit</t>
  </si>
  <si>
    <t>OpEx</t>
  </si>
  <si>
    <t>Region</t>
  </si>
  <si>
    <t>Product</t>
  </si>
  <si>
    <t>FY2024 Revenue</t>
  </si>
  <si>
    <t>North America</t>
  </si>
  <si>
    <t>Alpha</t>
  </si>
  <si>
    <t>Beta</t>
  </si>
  <si>
    <t>Europe</t>
  </si>
  <si>
    <t>APAC</t>
  </si>
  <si>
    <t>2021</t>
  </si>
  <si>
    <t>2022</t>
  </si>
  <si>
    <t>2023</t>
  </si>
  <si>
    <t>2024</t>
  </si>
  <si>
    <t>2025</t>
  </si>
  <si>
    <t>2026</t>
  </si>
  <si>
    <t>2027</t>
  </si>
  <si>
    <t>Q1-2025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</si>
</sst>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Tbl" displayName="IncomeTbl" ref="A1:H5">
  <autoFilter ref="A1:H5" xr:uid="{00000000-0009-0000-0100-000001000000}"/>
  <tableColumns count="8">
    <tableColumn id="1" xr3:uid="{00000000-0010-0000-0000-000001000000}" name="Line Item"/>
    <tableColumn id="2" xr3:uid="{00000000-0010-0000-0000-000002000000}" name="2021"/>
    <tableColumn id="3" xr3:uid="{00000000-0010-0000-0000-000003000000}" name="2022"/>
    <tableColumn id="4" xr3:uid="{00000000-0010-0000-0000-000004000000}" name="2023"/>
    <tableColumn id="5" xr3:uid="{00000000-0010-0000-0000-000005000000}" name="2024"/>
    <tableColumn id="6" xr3:uid="{00000000-0010-0000-0000-000006000000}" name="2025"/>
    <tableColumn id="7" xr3:uid="{00000000-0010-0000-0000-000007000000}" name="2026"/>
    <tableColumn id="8" xr3:uid="{00000000-0010-0000-0000-000008000000}" name="20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shFlowTbl" displayName="CashFlowTbl" ref="A1:H6">
  <autoFilter ref="A1:H6" xr:uid="{00000000-0009-0000-0100-000002000000}"/>
  <tableColumns count="8">
    <tableColumn id="1" xr3:uid="{00000000-0010-0000-0100-000001000000}" name="Line Item"/>
    <tableColumn id="2" xr3:uid="{00000000-0010-0000-0100-000002000000}" name="2021"/>
    <tableColumn id="3" xr3:uid="{00000000-0010-0000-0100-000003000000}" name="2022"/>
    <tableColumn id="4" xr3:uid="{00000000-0010-0000-0100-000004000000}" name="2023"/>
    <tableColumn id="5" xr3:uid="{00000000-0010-0000-0100-000005000000}" name="2024"/>
    <tableColumn id="6" xr3:uid="{00000000-0010-0000-0100-000006000000}" name="2025"/>
    <tableColumn id="7" xr3:uid="{00000000-0010-0000-0100-000007000000}" name="2026"/>
    <tableColumn id="8" xr3:uid="{00000000-0010-0000-0100-000008000000}" name="20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gionProduct" displayName="RegionProduct" ref="A1:C7">
  <autoFilter ref="A1:C7" xr:uid="{00000000-0009-0000-0100-000003000000}"/>
  <tableColumns count="3">
    <tableColumn id="1" xr3:uid="{00000000-0010-0000-0200-000001000000}" name="Region"/>
    <tableColumn id="2" xr3:uid="{00000000-0010-0000-0200-000002000000}" name="Product"/>
    <tableColumn id="3" xr3:uid="{00000000-0010-0000-0200-000003000000}" name="FY2024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60" zoomScaleNormal="160" workbookViewId="0">
      <selection activeCell="D5" sqref="D5"/>
    </sheetView>
  </sheetViews>
  <sheetFormatPr defaultColWidth="8.81640625" defaultRowHeight="14.5" x14ac:dyDescent="0.35"/>
  <cols>
    <col min="1" max="1" width="16.36328125" customWidth="1"/>
    <col min="2" max="2" width="17.08984375" customWidth="1"/>
    <col min="3" max="3" width="38.089843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>
        <v>0.1</v>
      </c>
      <c r="C2" t="s">
        <v>4</v>
      </c>
    </row>
    <row r="3" spans="1:3" x14ac:dyDescent="0.35">
      <c r="A3" s="2" t="s">
        <v>5</v>
      </c>
      <c r="B3">
        <v>0.03</v>
      </c>
      <c r="C3" t="s">
        <v>6</v>
      </c>
    </row>
    <row r="4" spans="1:3" x14ac:dyDescent="0.35">
      <c r="A4" s="2" t="s">
        <v>7</v>
      </c>
      <c r="B4">
        <v>0.25</v>
      </c>
      <c r="C4" t="s">
        <v>8</v>
      </c>
    </row>
    <row r="5" spans="1:3" x14ac:dyDescent="0.35">
      <c r="A5" s="2" t="s">
        <v>9</v>
      </c>
      <c r="B5">
        <v>0.24</v>
      </c>
      <c r="C5" t="s">
        <v>10</v>
      </c>
    </row>
    <row r="6" spans="1:3" x14ac:dyDescent="0.35">
      <c r="A6" s="2" t="s">
        <v>11</v>
      </c>
      <c r="B6">
        <v>0.04</v>
      </c>
      <c r="C6" t="s">
        <v>12</v>
      </c>
    </row>
    <row r="7" spans="1:3" x14ac:dyDescent="0.35">
      <c r="A7" s="2" t="s">
        <v>13</v>
      </c>
      <c r="B7">
        <v>0.05</v>
      </c>
      <c r="C7" t="s">
        <v>14</v>
      </c>
    </row>
    <row r="8" spans="1:3" x14ac:dyDescent="0.35">
      <c r="A8" s="2" t="s">
        <v>15</v>
      </c>
      <c r="B8">
        <v>0.1</v>
      </c>
      <c r="C8" t="s">
        <v>16</v>
      </c>
    </row>
    <row r="9" spans="1:3" x14ac:dyDescent="0.35">
      <c r="A9" s="2" t="s">
        <v>17</v>
      </c>
      <c r="B9">
        <v>200</v>
      </c>
      <c r="C9" t="s">
        <v>18</v>
      </c>
    </row>
    <row r="10" spans="1:3" x14ac:dyDescent="0.35">
      <c r="A10" s="2" t="s">
        <v>19</v>
      </c>
      <c r="B10">
        <v>50</v>
      </c>
      <c r="C10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zoomScale="160" zoomScaleNormal="160" workbookViewId="0">
      <selection activeCell="B2" sqref="B2"/>
    </sheetView>
  </sheetViews>
  <sheetFormatPr defaultColWidth="8.81640625" defaultRowHeight="14.5" x14ac:dyDescent="0.35"/>
  <sheetData>
    <row r="1" spans="1:8" x14ac:dyDescent="0.35">
      <c r="A1" s="1" t="s">
        <v>21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5">
      <c r="A2" t="s">
        <v>22</v>
      </c>
      <c r="B2">
        <v>800</v>
      </c>
      <c r="C2">
        <v>900</v>
      </c>
      <c r="D2">
        <v>1000</v>
      </c>
      <c r="E2">
        <v>1120</v>
      </c>
      <c r="F2">
        <f>E2*(1+TerminalGrowth)</f>
        <v>1153.6000000000001</v>
      </c>
      <c r="G2">
        <f>F2*(1+TerminalGrowth)</f>
        <v>1188.2080000000001</v>
      </c>
      <c r="H2">
        <f>G2*(1+TerminalGrowth)</f>
        <v>1223.8542400000001</v>
      </c>
    </row>
    <row r="3" spans="1:8" x14ac:dyDescent="0.35">
      <c r="A3" t="s">
        <v>23</v>
      </c>
      <c r="B3">
        <f t="shared" ref="B3:H3" si="0">B2*EBITDA_Margin</f>
        <v>192</v>
      </c>
      <c r="C3">
        <f t="shared" si="0"/>
        <v>216</v>
      </c>
      <c r="D3">
        <f t="shared" si="0"/>
        <v>240</v>
      </c>
      <c r="E3">
        <f t="shared" si="0"/>
        <v>268.8</v>
      </c>
      <c r="F3">
        <f t="shared" si="0"/>
        <v>276.86400000000003</v>
      </c>
      <c r="G3">
        <f t="shared" si="0"/>
        <v>285.16991999999999</v>
      </c>
      <c r="H3">
        <f t="shared" si="0"/>
        <v>293.7250176</v>
      </c>
    </row>
    <row r="4" spans="1:8" x14ac:dyDescent="0.35">
      <c r="A4" t="s">
        <v>24</v>
      </c>
      <c r="B4">
        <f t="shared" ref="B4:H4" si="1">B2*DA_Percent</f>
        <v>32</v>
      </c>
      <c r="C4">
        <f t="shared" si="1"/>
        <v>36</v>
      </c>
      <c r="D4">
        <f t="shared" si="1"/>
        <v>40</v>
      </c>
      <c r="E4">
        <f t="shared" si="1"/>
        <v>44.800000000000004</v>
      </c>
      <c r="F4">
        <f t="shared" si="1"/>
        <v>46.144000000000005</v>
      </c>
      <c r="G4">
        <f t="shared" si="1"/>
        <v>47.528320000000001</v>
      </c>
      <c r="H4">
        <f t="shared" si="1"/>
        <v>48.954169600000007</v>
      </c>
    </row>
    <row r="5" spans="1:8" x14ac:dyDescent="0.35">
      <c r="A5" t="s">
        <v>25</v>
      </c>
      <c r="B5">
        <f t="shared" ref="B5:H5" si="2">B3-B4</f>
        <v>160</v>
      </c>
      <c r="C5">
        <f t="shared" si="2"/>
        <v>180</v>
      </c>
      <c r="D5">
        <f t="shared" si="2"/>
        <v>200</v>
      </c>
      <c r="E5">
        <f t="shared" si="2"/>
        <v>224</v>
      </c>
      <c r="F5">
        <f t="shared" si="2"/>
        <v>230.72000000000003</v>
      </c>
      <c r="G5">
        <f t="shared" si="2"/>
        <v>237.64159999999998</v>
      </c>
      <c r="H5">
        <f t="shared" si="2"/>
        <v>244.770848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30" zoomScaleNormal="130" workbookViewId="0">
      <selection activeCell="H5" sqref="H5"/>
    </sheetView>
  </sheetViews>
  <sheetFormatPr defaultColWidth="8.81640625" defaultRowHeight="14.5" x14ac:dyDescent="0.35"/>
  <cols>
    <col min="1" max="1" width="27.81640625" customWidth="1"/>
  </cols>
  <sheetData>
    <row r="1" spans="1:8" x14ac:dyDescent="0.35">
      <c r="A1" s="1" t="s">
        <v>21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5">
      <c r="A2" t="s">
        <v>26</v>
      </c>
      <c r="B2">
        <f>IncomeStmt!B5*(1-TaxRate)</f>
        <v>120</v>
      </c>
      <c r="C2">
        <f>IncomeStmt!C5*(1-TaxRate)</f>
        <v>135</v>
      </c>
      <c r="D2">
        <f>IncomeStmt!D5*(1-TaxRate)</f>
        <v>150</v>
      </c>
      <c r="E2">
        <f>IncomeStmt!E5*(1-TaxRate)</f>
        <v>168</v>
      </c>
      <c r="F2">
        <f>IncomeStmt!F5*(1-TaxRate)</f>
        <v>173.04000000000002</v>
      </c>
      <c r="G2">
        <f>IncomeStmt!G5*(1-TaxRate)</f>
        <v>178.2312</v>
      </c>
      <c r="H2">
        <f>IncomeStmt!H5*(1-TaxRate)</f>
        <v>183.578136</v>
      </c>
    </row>
    <row r="3" spans="1:8" x14ac:dyDescent="0.35">
      <c r="A3" t="s">
        <v>24</v>
      </c>
      <c r="B3">
        <f>IncomeStmt!B4</f>
        <v>32</v>
      </c>
      <c r="C3">
        <f>IncomeStmt!C4</f>
        <v>36</v>
      </c>
      <c r="D3">
        <f>IncomeStmt!D4</f>
        <v>40</v>
      </c>
      <c r="E3">
        <f>IncomeStmt!E4</f>
        <v>44.800000000000004</v>
      </c>
      <c r="F3">
        <f>IncomeStmt!F4</f>
        <v>46.144000000000005</v>
      </c>
      <c r="G3">
        <f>IncomeStmt!G4</f>
        <v>47.528320000000001</v>
      </c>
      <c r="H3">
        <f>IncomeStmt!H4</f>
        <v>48.954169600000007</v>
      </c>
    </row>
    <row r="4" spans="1:8" x14ac:dyDescent="0.35">
      <c r="A4" t="s">
        <v>27</v>
      </c>
      <c r="B4">
        <v>0</v>
      </c>
      <c r="C4">
        <f>(IncomeStmt!C2*NWC_Percent)-(IncomeStmt!B2*NWC_Percent)</f>
        <v>10</v>
      </c>
      <c r="D4">
        <f>(IncomeStmt!D2*NWC_Percent)-(IncomeStmt!C2*NWC_Percent)</f>
        <v>10</v>
      </c>
      <c r="E4">
        <f>(IncomeStmt!E2*NWC_Percent)-(IncomeStmt!D2*NWC_Percent)</f>
        <v>12</v>
      </c>
      <c r="F4">
        <f>(IncomeStmt!F2*NWC_Percent)-(IncomeStmt!E2*NWC_Percent)</f>
        <v>3.3600000000000136</v>
      </c>
      <c r="G4">
        <f>(IncomeStmt!G2*NWC_Percent)-(IncomeStmt!F2*NWC_Percent)</f>
        <v>3.4608000000000061</v>
      </c>
      <c r="H4">
        <f>(IncomeStmt!H2*NWC_Percent)-(IncomeStmt!G2*NWC_Percent)</f>
        <v>3.5646239999999949</v>
      </c>
    </row>
    <row r="5" spans="1:8" x14ac:dyDescent="0.35">
      <c r="A5" t="s">
        <v>28</v>
      </c>
      <c r="B5">
        <f>IncomeStmt!B2*Capex_Percent</f>
        <v>40</v>
      </c>
      <c r="C5">
        <f>IncomeStmt!C2*Capex_Percent</f>
        <v>45</v>
      </c>
      <c r="D5">
        <f>IncomeStmt!D2*Capex_Percent</f>
        <v>50</v>
      </c>
      <c r="E5">
        <f>IncomeStmt!E2*Capex_Percent</f>
        <v>56</v>
      </c>
      <c r="F5">
        <f>IncomeStmt!F2*Capex_Percent</f>
        <v>57.680000000000007</v>
      </c>
      <c r="G5">
        <f>IncomeStmt!G2*Capex_Percent</f>
        <v>59.41040000000001</v>
      </c>
      <c r="H5">
        <f>IncomeStmt!H2*Capex_Percent</f>
        <v>61.192712000000007</v>
      </c>
    </row>
    <row r="6" spans="1:8" x14ac:dyDescent="0.35">
      <c r="A6" t="s">
        <v>29</v>
      </c>
      <c r="B6">
        <f t="shared" ref="B6:H6" si="0">B2+B3-B5-B4</f>
        <v>112</v>
      </c>
      <c r="C6">
        <f t="shared" si="0"/>
        <v>116</v>
      </c>
      <c r="D6">
        <f t="shared" si="0"/>
        <v>130</v>
      </c>
      <c r="E6">
        <f t="shared" si="0"/>
        <v>144.80000000000001</v>
      </c>
      <c r="F6">
        <f t="shared" si="0"/>
        <v>158.14400000000001</v>
      </c>
      <c r="G6">
        <f t="shared" si="0"/>
        <v>162.88831999999999</v>
      </c>
      <c r="H6">
        <f t="shared" si="0"/>
        <v>167.77496960000002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zoomScale="120" zoomScaleNormal="120" workbookViewId="0">
      <selection activeCell="I9" sqref="I9"/>
    </sheetView>
  </sheetViews>
  <sheetFormatPr defaultColWidth="8.81640625" defaultRowHeight="14.5" x14ac:dyDescent="0.35"/>
  <cols>
    <col min="1" max="1" width="45.453125" customWidth="1"/>
  </cols>
  <sheetData>
    <row r="1" spans="1:9" x14ac:dyDescent="0.35">
      <c r="A1" s="1" t="s">
        <v>30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 t="s">
        <v>31</v>
      </c>
    </row>
    <row r="2" spans="1:9" x14ac:dyDescent="0.35">
      <c r="A2" t="s">
        <v>29</v>
      </c>
      <c r="B2">
        <f>CashFlow!B6</f>
        <v>112</v>
      </c>
      <c r="C2">
        <f>CashFlow!C6</f>
        <v>116</v>
      </c>
      <c r="D2">
        <f>CashFlow!D6</f>
        <v>130</v>
      </c>
      <c r="E2">
        <f>CashFlow!E6</f>
        <v>144.80000000000001</v>
      </c>
      <c r="F2">
        <f>CashFlow!F6</f>
        <v>158.14400000000001</v>
      </c>
      <c r="G2">
        <f>CashFlow!G6</f>
        <v>162.88831999999999</v>
      </c>
      <c r="H2">
        <f>CashFlow!H6</f>
        <v>167.77496960000002</v>
      </c>
    </row>
    <row r="3" spans="1:9" x14ac:dyDescent="0.35">
      <c r="A3" t="s">
        <v>32</v>
      </c>
      <c r="B3">
        <f>1/(1+WACC)^1</f>
        <v>0.90909090909090906</v>
      </c>
      <c r="C3">
        <f>1/(1+WACC)^2</f>
        <v>0.82644628099173545</v>
      </c>
      <c r="D3">
        <f>1/(1+WACC)^3</f>
        <v>0.75131480090157754</v>
      </c>
      <c r="E3">
        <f>1/(1+WACC)^4</f>
        <v>0.68301345536507052</v>
      </c>
      <c r="F3">
        <f>1/(1+WACC)^5</f>
        <v>0.62092132305915493</v>
      </c>
      <c r="G3">
        <f>1/(1+WACC)^6</f>
        <v>0.56447393005377722</v>
      </c>
      <c r="H3">
        <f>1/(1+WACC)^7</f>
        <v>0.51315811823070645</v>
      </c>
    </row>
    <row r="4" spans="1:9" x14ac:dyDescent="0.35">
      <c r="A4" t="s">
        <v>33</v>
      </c>
      <c r="B4">
        <f t="shared" ref="B4:H4" si="0">B2*B3</f>
        <v>101.81818181818181</v>
      </c>
      <c r="C4">
        <f t="shared" si="0"/>
        <v>95.867768595041312</v>
      </c>
      <c r="D4">
        <f t="shared" si="0"/>
        <v>97.670924117205075</v>
      </c>
      <c r="E4">
        <f t="shared" si="0"/>
        <v>98.900348336862223</v>
      </c>
      <c r="F4">
        <f t="shared" si="0"/>
        <v>98.194981713866994</v>
      </c>
      <c r="G4">
        <f t="shared" si="0"/>
        <v>91.946210150257272</v>
      </c>
      <c r="H4">
        <f t="shared" si="0"/>
        <v>86.095087686149995</v>
      </c>
    </row>
    <row r="5" spans="1:9" x14ac:dyDescent="0.35">
      <c r="A5" t="s">
        <v>34</v>
      </c>
      <c r="I5">
        <f>(Valuation!H2*(1+TerminalGrowth))/(WACC-TerminalGrowth)</f>
        <v>2468.6888383999999</v>
      </c>
    </row>
    <row r="6" spans="1:9" x14ac:dyDescent="0.35">
      <c r="A6" t="s">
        <v>35</v>
      </c>
      <c r="I6">
        <f>I5*Valuation!H3</f>
        <v>1266.8277188104926</v>
      </c>
    </row>
    <row r="7" spans="1:9" x14ac:dyDescent="0.35">
      <c r="A7" t="s">
        <v>36</v>
      </c>
      <c r="I7">
        <f>B4+C4+D4+E4+F4+G4+H4+I6</f>
        <v>1937.3212212280573</v>
      </c>
    </row>
    <row r="8" spans="1:9" x14ac:dyDescent="0.35">
      <c r="A8" t="s">
        <v>37</v>
      </c>
      <c r="I8">
        <f>I7-NetDebt</f>
        <v>1737.3212212280573</v>
      </c>
    </row>
    <row r="9" spans="1:9" x14ac:dyDescent="0.35">
      <c r="A9" t="s">
        <v>38</v>
      </c>
      <c r="I9">
        <f>I8/SharesOut</f>
        <v>34.746424424561148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tabSelected="1" zoomScale="180" zoomScaleNormal="180" workbookViewId="0">
      <selection activeCell="H3" sqref="H3"/>
    </sheetView>
  </sheetViews>
  <sheetFormatPr defaultColWidth="8.81640625" defaultRowHeight="14.5" x14ac:dyDescent="0.35"/>
  <sheetData>
    <row r="1" spans="1:6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62</v>
      </c>
    </row>
    <row r="2" spans="1:6" x14ac:dyDescent="0.35">
      <c r="A2" t="s">
        <v>22</v>
      </c>
      <c r="B2">
        <v>240</v>
      </c>
      <c r="C2">
        <v>260</v>
      </c>
      <c r="D2">
        <v>300</v>
      </c>
      <c r="E2">
        <v>320</v>
      </c>
      <c r="F2">
        <v>340</v>
      </c>
    </row>
    <row r="3" spans="1:6" x14ac:dyDescent="0.35">
      <c r="A3" t="s">
        <v>44</v>
      </c>
      <c r="B3">
        <v>120</v>
      </c>
      <c r="C3">
        <v>130</v>
      </c>
      <c r="D3">
        <v>150</v>
      </c>
      <c r="E3">
        <v>160</v>
      </c>
      <c r="F3">
        <v>170</v>
      </c>
    </row>
    <row r="4" spans="1:6" x14ac:dyDescent="0.35">
      <c r="A4" t="s">
        <v>45</v>
      </c>
      <c r="B4">
        <f>B2-B3</f>
        <v>120</v>
      </c>
      <c r="C4">
        <f>C2-C3</f>
        <v>130</v>
      </c>
      <c r="D4">
        <f>D2-D3</f>
        <v>150</v>
      </c>
      <c r="E4">
        <f>E2-E3</f>
        <v>160</v>
      </c>
      <c r="F4">
        <v>170</v>
      </c>
    </row>
    <row r="5" spans="1:6" x14ac:dyDescent="0.35">
      <c r="A5" t="s">
        <v>46</v>
      </c>
      <c r="B5">
        <v>60</v>
      </c>
      <c r="C5">
        <v>62</v>
      </c>
      <c r="D5">
        <v>64</v>
      </c>
      <c r="E5">
        <v>66</v>
      </c>
      <c r="F5">
        <v>68</v>
      </c>
    </row>
    <row r="6" spans="1:6" x14ac:dyDescent="0.35">
      <c r="A6" t="s">
        <v>23</v>
      </c>
      <c r="B6">
        <f>B4-B5</f>
        <v>60</v>
      </c>
      <c r="C6">
        <f>C4-C5</f>
        <v>68</v>
      </c>
      <c r="D6">
        <f>D4-D5</f>
        <v>86</v>
      </c>
      <c r="E6">
        <f>E4-E5</f>
        <v>94</v>
      </c>
      <c r="F6">
        <v>102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="160" zoomScaleNormal="160" workbookViewId="0">
      <selection activeCell="E9" sqref="E9"/>
    </sheetView>
  </sheetViews>
  <sheetFormatPr defaultColWidth="8.81640625" defaultRowHeight="14.5" x14ac:dyDescent="0.35"/>
  <cols>
    <col min="1" max="1" width="26.36328125" customWidth="1"/>
    <col min="3" max="3" width="17" customWidth="1"/>
  </cols>
  <sheetData>
    <row r="1" spans="1:3" x14ac:dyDescent="0.35">
      <c r="A1" s="1" t="s">
        <v>47</v>
      </c>
      <c r="B1" s="1" t="s">
        <v>48</v>
      </c>
      <c r="C1" s="1" t="s">
        <v>49</v>
      </c>
    </row>
    <row r="2" spans="1:3" x14ac:dyDescent="0.35">
      <c r="A2" t="s">
        <v>50</v>
      </c>
      <c r="B2" t="s">
        <v>51</v>
      </c>
      <c r="C2">
        <v>350</v>
      </c>
    </row>
    <row r="3" spans="1:3" x14ac:dyDescent="0.35">
      <c r="A3" t="s">
        <v>50</v>
      </c>
      <c r="B3" t="s">
        <v>52</v>
      </c>
      <c r="C3">
        <v>180</v>
      </c>
    </row>
    <row r="4" spans="1:3" x14ac:dyDescent="0.35">
      <c r="A4" t="s">
        <v>53</v>
      </c>
      <c r="B4" t="s">
        <v>51</v>
      </c>
      <c r="C4">
        <v>230</v>
      </c>
    </row>
    <row r="5" spans="1:3" x14ac:dyDescent="0.35">
      <c r="A5" t="s">
        <v>53</v>
      </c>
      <c r="B5" t="s">
        <v>52</v>
      </c>
      <c r="C5">
        <v>160</v>
      </c>
    </row>
    <row r="6" spans="1:3" x14ac:dyDescent="0.35">
      <c r="A6" t="s">
        <v>54</v>
      </c>
      <c r="B6" t="s">
        <v>51</v>
      </c>
      <c r="C6">
        <v>220</v>
      </c>
    </row>
    <row r="7" spans="1:3" x14ac:dyDescent="0.35">
      <c r="A7" t="s">
        <v>54</v>
      </c>
      <c r="B7" t="s">
        <v>52</v>
      </c>
      <c r="C7">
        <v>140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Assumptions</vt:lpstr>
      <vt:lpstr>IncomeStmt</vt:lpstr>
      <vt:lpstr>CashFlow</vt:lpstr>
      <vt:lpstr>Valuation</vt:lpstr>
      <vt:lpstr>Quarterly_2024</vt:lpstr>
      <vt:lpstr>Data</vt:lpstr>
      <vt:lpstr>Capex_Percent</vt:lpstr>
      <vt:lpstr>DA_Percent</vt:lpstr>
      <vt:lpstr>EBITDA_Margin</vt:lpstr>
      <vt:lpstr>NetDebt</vt:lpstr>
      <vt:lpstr>NWC_Percent</vt:lpstr>
      <vt:lpstr>SharesOut</vt:lpstr>
      <vt:lpstr>TaxRate</vt:lpstr>
      <vt:lpstr>TerminalGrowth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Jayasri Dharmireddi</cp:lastModifiedBy>
  <dcterms:created xsi:type="dcterms:W3CDTF">2025-09-16T03:42:05Z</dcterms:created>
  <dcterms:modified xsi:type="dcterms:W3CDTF">2025-10-15T21:54:18Z</dcterms:modified>
</cp:coreProperties>
</file>