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drawings/drawing1.xml" ContentType="application/vnd.openxmlformats-officedocument.drawing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esh.bali\Downloads\"/>
    </mc:Choice>
  </mc:AlternateContent>
  <xr:revisionPtr revIDLastSave="0" documentId="8_{DE139DE2-1500-4BA8-BFF6-8B73DC0C4278}" xr6:coauthVersionLast="40" xr6:coauthVersionMax="40" xr10:uidLastSave="{00000000-0000-0000-0000-000000000000}"/>
  <bookViews>
    <workbookView xWindow="0" yWindow="0" windowWidth="20490" windowHeight="6885" tabRatio="900" activeTab="1" xr2:uid="{00000000-000D-0000-FFFF-FFFF00000000}"/>
  </bookViews>
  <sheets>
    <sheet name="Cover" sheetId="1" r:id="rId1"/>
    <sheet name="IS" sheetId="4" r:id="rId2"/>
    <sheet name="BS" sheetId="3" r:id="rId3"/>
    <sheet name="CF" sheetId="6" r:id="rId4"/>
    <sheet name="Ratios" sheetId="14" r:id="rId5"/>
    <sheet name="Working Capital" sheetId="7" r:id="rId6"/>
    <sheet name="Dep Capex " sheetId="8" r:id="rId7"/>
    <sheet name="Amort Intangible" sheetId="9" r:id="rId8"/>
    <sheet name="Other Long Term Asset Liability" sheetId="13" r:id="rId9"/>
    <sheet name="Shareholders Equity" sheetId="10" r:id="rId10"/>
    <sheet name="Shares Outstanding " sheetId="11" r:id="rId11"/>
    <sheet name="Debt" sheetId="12" r:id="rId1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39" i="12" l="1"/>
  <c r="N39" i="12"/>
  <c r="M39" i="12"/>
  <c r="L39" i="12"/>
  <c r="K39" i="12"/>
  <c r="O38" i="12"/>
  <c r="N38" i="12"/>
  <c r="M38" i="12"/>
  <c r="L38" i="12"/>
  <c r="K38" i="12"/>
  <c r="O34" i="12"/>
  <c r="N34" i="12"/>
  <c r="M34" i="12"/>
  <c r="L34" i="12"/>
  <c r="K34" i="12"/>
  <c r="O29" i="12"/>
  <c r="N29" i="12"/>
  <c r="M29" i="12"/>
  <c r="L29" i="12"/>
  <c r="K29" i="12"/>
  <c r="O28" i="12"/>
  <c r="N28" i="12"/>
  <c r="M28" i="12"/>
  <c r="L28" i="12"/>
  <c r="K28" i="12"/>
  <c r="O26" i="12"/>
  <c r="N26" i="12"/>
  <c r="M26" i="12"/>
  <c r="L26" i="12"/>
  <c r="K26" i="12"/>
  <c r="J26" i="12"/>
  <c r="I26" i="12"/>
  <c r="H26" i="12"/>
  <c r="G26" i="12"/>
  <c r="F26" i="12"/>
  <c r="O23" i="12"/>
  <c r="N23" i="12"/>
  <c r="M23" i="12"/>
  <c r="L23" i="12"/>
  <c r="K23" i="12"/>
  <c r="K18" i="12"/>
  <c r="O14" i="12"/>
  <c r="N14" i="12"/>
  <c r="M14" i="12"/>
  <c r="L14" i="12"/>
  <c r="K14" i="12"/>
  <c r="K10" i="12"/>
  <c r="O9" i="12"/>
  <c r="N9" i="12"/>
  <c r="M9" i="12"/>
  <c r="L9" i="12"/>
  <c r="K9" i="12"/>
  <c r="O7" i="12"/>
  <c r="N7" i="12"/>
  <c r="M7" i="12"/>
  <c r="L7" i="12"/>
  <c r="K7" i="12"/>
  <c r="O5" i="12"/>
  <c r="N5" i="12"/>
  <c r="M5" i="12"/>
  <c r="L5" i="12"/>
  <c r="K5" i="12"/>
  <c r="J5" i="12"/>
  <c r="I5" i="12"/>
  <c r="H5" i="12"/>
  <c r="G5" i="12"/>
  <c r="F5" i="12"/>
  <c r="E5" i="12"/>
  <c r="D5" i="12"/>
  <c r="C5" i="12"/>
  <c r="A1" i="12"/>
  <c r="M13" i="11"/>
  <c r="L13" i="11"/>
  <c r="K13" i="11"/>
  <c r="J13" i="11"/>
  <c r="I13" i="11"/>
  <c r="R12" i="11"/>
  <c r="Q12" i="11"/>
  <c r="P12" i="11"/>
  <c r="O12" i="11"/>
  <c r="N12" i="11"/>
  <c r="M12" i="11"/>
  <c r="L12" i="11"/>
  <c r="K12" i="11"/>
  <c r="J12" i="11"/>
  <c r="I12" i="11"/>
  <c r="M11" i="11"/>
  <c r="L11" i="11"/>
  <c r="K11" i="11"/>
  <c r="J11" i="11"/>
  <c r="I11" i="11"/>
  <c r="M9" i="11"/>
  <c r="L9" i="11"/>
  <c r="K9" i="11"/>
  <c r="M8" i="11"/>
  <c r="L8" i="11"/>
  <c r="K8" i="11"/>
  <c r="M7" i="11"/>
  <c r="L7" i="11"/>
  <c r="K7" i="11"/>
  <c r="N6" i="11"/>
  <c r="M6" i="11"/>
  <c r="L6" i="11"/>
  <c r="K6" i="11"/>
  <c r="J6" i="11"/>
  <c r="R5" i="11"/>
  <c r="Q5" i="11"/>
  <c r="P5" i="11"/>
  <c r="O5" i="11"/>
  <c r="N5" i="11"/>
  <c r="M5" i="11"/>
  <c r="L5" i="11"/>
  <c r="K5" i="11"/>
  <c r="J5" i="11"/>
  <c r="I5" i="11"/>
  <c r="H5" i="11"/>
  <c r="G5" i="11"/>
  <c r="F5" i="11"/>
  <c r="E5" i="11"/>
  <c r="D5" i="11"/>
  <c r="C5" i="11"/>
  <c r="A1" i="11"/>
  <c r="C67" i="10"/>
  <c r="C62" i="10"/>
  <c r="D57" i="10"/>
  <c r="C57" i="10"/>
  <c r="M32" i="10"/>
  <c r="L32" i="10"/>
  <c r="K32" i="10"/>
  <c r="J32" i="10"/>
  <c r="I32" i="10"/>
  <c r="M31" i="10"/>
  <c r="L31" i="10"/>
  <c r="K31" i="10"/>
  <c r="J31" i="10"/>
  <c r="I31" i="10"/>
  <c r="M30" i="10"/>
  <c r="L30" i="10"/>
  <c r="K30" i="10"/>
  <c r="J30" i="10"/>
  <c r="I30" i="10"/>
  <c r="M25" i="10"/>
  <c r="L25" i="10"/>
  <c r="K25" i="10"/>
  <c r="J25" i="10"/>
  <c r="I25" i="10"/>
  <c r="M23" i="10"/>
  <c r="L23" i="10"/>
  <c r="K23" i="10"/>
  <c r="J23" i="10"/>
  <c r="I23" i="10"/>
  <c r="M22" i="10"/>
  <c r="L22" i="10"/>
  <c r="K22" i="10"/>
  <c r="M18" i="10"/>
  <c r="L18" i="10"/>
  <c r="K18" i="10"/>
  <c r="J18" i="10"/>
  <c r="I18" i="10"/>
  <c r="M16" i="10"/>
  <c r="L16" i="10"/>
  <c r="K16" i="10"/>
  <c r="M15" i="10"/>
  <c r="L15" i="10"/>
  <c r="K15" i="10"/>
  <c r="M14" i="10"/>
  <c r="L14" i="10"/>
  <c r="K14" i="10"/>
  <c r="J14" i="10"/>
  <c r="I14" i="10"/>
  <c r="E14" i="10"/>
  <c r="D14" i="10"/>
  <c r="C14" i="10"/>
  <c r="M11" i="10"/>
  <c r="L11" i="10"/>
  <c r="K11" i="10"/>
  <c r="J11" i="10"/>
  <c r="I11" i="10"/>
  <c r="E11" i="10"/>
  <c r="D11" i="10"/>
  <c r="C11" i="10"/>
  <c r="R10" i="10"/>
  <c r="Q10" i="10"/>
  <c r="P10" i="10"/>
  <c r="O10" i="10"/>
  <c r="N10" i="10"/>
  <c r="R8" i="10"/>
  <c r="Q8" i="10"/>
  <c r="P8" i="10"/>
  <c r="O8" i="10"/>
  <c r="N8" i="10"/>
  <c r="N6" i="10"/>
  <c r="R5" i="10"/>
  <c r="Q5" i="10"/>
  <c r="P5" i="10"/>
  <c r="O5" i="10"/>
  <c r="N5" i="10"/>
  <c r="M5" i="10"/>
  <c r="L5" i="10"/>
  <c r="K5" i="10"/>
  <c r="J5" i="10"/>
  <c r="I5" i="10"/>
  <c r="H5" i="10"/>
  <c r="G5" i="10"/>
  <c r="F5" i="10"/>
  <c r="E5" i="10"/>
  <c r="D5" i="10"/>
  <c r="C5" i="10"/>
  <c r="A1" i="10"/>
  <c r="R13" i="13"/>
  <c r="Q13" i="13"/>
  <c r="P13" i="13"/>
  <c r="O13" i="13"/>
  <c r="N13" i="13"/>
  <c r="M13" i="13"/>
  <c r="L13" i="13"/>
  <c r="K13" i="13"/>
  <c r="J13" i="13"/>
  <c r="I13" i="13"/>
  <c r="E13" i="13"/>
  <c r="D13" i="13"/>
  <c r="C13" i="13"/>
  <c r="R12" i="13"/>
  <c r="Q12" i="13"/>
  <c r="P12" i="13"/>
  <c r="O12" i="13"/>
  <c r="N12" i="13"/>
  <c r="M12" i="13"/>
  <c r="L12" i="13"/>
  <c r="K12" i="13"/>
  <c r="J12" i="13"/>
  <c r="I12" i="13"/>
  <c r="E12" i="13"/>
  <c r="D12" i="13"/>
  <c r="C12" i="13"/>
  <c r="R9" i="13"/>
  <c r="Q9" i="13"/>
  <c r="P9" i="13"/>
  <c r="O9" i="13"/>
  <c r="N9" i="13"/>
  <c r="M9" i="13"/>
  <c r="L9" i="13"/>
  <c r="K9" i="13"/>
  <c r="J9" i="13"/>
  <c r="I9" i="13"/>
  <c r="E9" i="13"/>
  <c r="D9" i="13"/>
  <c r="C9" i="13"/>
  <c r="R8" i="13"/>
  <c r="Q8" i="13"/>
  <c r="P8" i="13"/>
  <c r="O8" i="13"/>
  <c r="N8" i="13"/>
  <c r="M8" i="13"/>
  <c r="L8" i="13"/>
  <c r="K8" i="13"/>
  <c r="J8" i="13"/>
  <c r="I8" i="13"/>
  <c r="E8" i="13"/>
  <c r="D8" i="13"/>
  <c r="C8" i="13"/>
  <c r="R5" i="13"/>
  <c r="Q5" i="13"/>
  <c r="P5" i="13"/>
  <c r="O5" i="13"/>
  <c r="N5" i="13"/>
  <c r="M5" i="13"/>
  <c r="L5" i="13"/>
  <c r="K5" i="13"/>
  <c r="J5" i="13"/>
  <c r="I5" i="13"/>
  <c r="H5" i="13"/>
  <c r="G5" i="13"/>
  <c r="F5" i="13"/>
  <c r="E5" i="13"/>
  <c r="D5" i="13"/>
  <c r="C5" i="13"/>
  <c r="A1" i="13"/>
  <c r="R14" i="9"/>
  <c r="Q14" i="9"/>
  <c r="P14" i="9"/>
  <c r="O14" i="9"/>
  <c r="N14" i="9"/>
  <c r="R10" i="9"/>
  <c r="Q10" i="9"/>
  <c r="P10" i="9"/>
  <c r="O10" i="9"/>
  <c r="N10" i="9"/>
  <c r="R6" i="9"/>
  <c r="Q6" i="9"/>
  <c r="P6" i="9"/>
  <c r="O6" i="9"/>
  <c r="N6" i="9"/>
  <c r="M6" i="9"/>
  <c r="L6" i="9"/>
  <c r="K6" i="9"/>
  <c r="J6" i="9"/>
  <c r="I6" i="9"/>
  <c r="R5" i="9"/>
  <c r="Q5" i="9"/>
  <c r="P5" i="9"/>
  <c r="O5" i="9"/>
  <c r="N5" i="9"/>
  <c r="M5" i="9"/>
  <c r="L5" i="9"/>
  <c r="K5" i="9"/>
  <c r="J5" i="9"/>
  <c r="I5" i="9"/>
  <c r="H5" i="9"/>
  <c r="G5" i="9"/>
  <c r="F5" i="9"/>
  <c r="E5" i="9"/>
  <c r="D5" i="9"/>
  <c r="C5" i="9"/>
  <c r="A1" i="9"/>
  <c r="R75" i="8"/>
  <c r="Q75" i="8"/>
  <c r="P75" i="8"/>
  <c r="O75" i="8"/>
  <c r="N75" i="8"/>
  <c r="R72" i="8"/>
  <c r="Q72" i="8"/>
  <c r="P72" i="8"/>
  <c r="O72" i="8"/>
  <c r="N72" i="8"/>
  <c r="R70" i="8"/>
  <c r="J70" i="8"/>
  <c r="B70" i="8"/>
  <c r="R69" i="8"/>
  <c r="Q69" i="8"/>
  <c r="J69" i="8"/>
  <c r="B69" i="8"/>
  <c r="R68" i="8"/>
  <c r="Q68" i="8"/>
  <c r="P68" i="8"/>
  <c r="J68" i="8"/>
  <c r="B68" i="8"/>
  <c r="R67" i="8"/>
  <c r="Q67" i="8"/>
  <c r="P67" i="8"/>
  <c r="O67" i="8"/>
  <c r="J67" i="8"/>
  <c r="B67" i="8"/>
  <c r="R66" i="8"/>
  <c r="Q66" i="8"/>
  <c r="P66" i="8"/>
  <c r="O66" i="8"/>
  <c r="N66" i="8"/>
  <c r="J66" i="8"/>
  <c r="I70" i="8"/>
  <c r="I69" i="8"/>
  <c r="I68" i="8"/>
  <c r="I67" i="8"/>
  <c r="I66" i="8"/>
  <c r="I66" i="8" a="1"/>
  <c r="R63" i="8"/>
  <c r="Q63" i="8"/>
  <c r="P63" i="8"/>
  <c r="O63" i="8"/>
  <c r="N63" i="8"/>
  <c r="I62" i="8"/>
  <c r="I61" i="8"/>
  <c r="R58" i="8"/>
  <c r="Q58" i="8"/>
  <c r="P58" i="8"/>
  <c r="O58" i="8"/>
  <c r="N58" i="8"/>
  <c r="R56" i="8"/>
  <c r="J56" i="8"/>
  <c r="B56" i="8"/>
  <c r="R55" i="8"/>
  <c r="Q55" i="8"/>
  <c r="J55" i="8"/>
  <c r="B55" i="8"/>
  <c r="R54" i="8"/>
  <c r="Q54" i="8"/>
  <c r="P54" i="8"/>
  <c r="J54" i="8"/>
  <c r="B54" i="8"/>
  <c r="R53" i="8"/>
  <c r="Q53" i="8"/>
  <c r="P53" i="8"/>
  <c r="O53" i="8"/>
  <c r="J53" i="8"/>
  <c r="B53" i="8"/>
  <c r="R52" i="8"/>
  <c r="Q52" i="8"/>
  <c r="P52" i="8"/>
  <c r="O52" i="8"/>
  <c r="N52" i="8"/>
  <c r="J52" i="8"/>
  <c r="I56" i="8"/>
  <c r="I55" i="8"/>
  <c r="I54" i="8"/>
  <c r="I53" i="8"/>
  <c r="I52" i="8"/>
  <c r="I52" i="8" a="1"/>
  <c r="R49" i="8"/>
  <c r="Q49" i="8"/>
  <c r="P49" i="8"/>
  <c r="O49" i="8"/>
  <c r="N49" i="8"/>
  <c r="I48" i="8"/>
  <c r="I47" i="8"/>
  <c r="R44" i="8"/>
  <c r="Q44" i="8"/>
  <c r="P44" i="8"/>
  <c r="O44" i="8"/>
  <c r="N44" i="8"/>
  <c r="R42" i="8"/>
  <c r="B42" i="8"/>
  <c r="R41" i="8"/>
  <c r="Q41" i="8"/>
  <c r="B41" i="8"/>
  <c r="R40" i="8"/>
  <c r="Q40" i="8"/>
  <c r="P40" i="8"/>
  <c r="B40" i="8"/>
  <c r="R39" i="8"/>
  <c r="Q39" i="8"/>
  <c r="P39" i="8"/>
  <c r="O39" i="8"/>
  <c r="B39" i="8"/>
  <c r="R38" i="8"/>
  <c r="Q38" i="8"/>
  <c r="P38" i="8"/>
  <c r="O38" i="8"/>
  <c r="N38" i="8"/>
  <c r="I42" i="8"/>
  <c r="I41" i="8"/>
  <c r="I40" i="8"/>
  <c r="I39" i="8"/>
  <c r="I38" i="8"/>
  <c r="I38" i="8" a="1"/>
  <c r="R35" i="8"/>
  <c r="Q35" i="8"/>
  <c r="P35" i="8"/>
  <c r="O35" i="8"/>
  <c r="N35" i="8"/>
  <c r="I34" i="8"/>
  <c r="I33" i="8"/>
  <c r="R29" i="8"/>
  <c r="Q29" i="8"/>
  <c r="P29" i="8"/>
  <c r="O29" i="8"/>
  <c r="N29" i="8"/>
  <c r="B29" i="8"/>
  <c r="R28" i="8"/>
  <c r="Q28" i="8"/>
  <c r="P28" i="8"/>
  <c r="O28" i="8"/>
  <c r="N28" i="8"/>
  <c r="B28" i="8"/>
  <c r="R27" i="8"/>
  <c r="Q27" i="8"/>
  <c r="P27" i="8"/>
  <c r="O27" i="8"/>
  <c r="N27" i="8"/>
  <c r="B27" i="8"/>
  <c r="R26" i="8"/>
  <c r="Q26" i="8"/>
  <c r="P26" i="8"/>
  <c r="O26" i="8"/>
  <c r="N26" i="8"/>
  <c r="B26" i="8"/>
  <c r="M21" i="8"/>
  <c r="L21" i="8"/>
  <c r="P20" i="8"/>
  <c r="P19" i="8"/>
  <c r="P18" i="8"/>
  <c r="P17" i="8"/>
  <c r="R13" i="8"/>
  <c r="Q13" i="8"/>
  <c r="P13" i="8"/>
  <c r="O13" i="8"/>
  <c r="N13" i="8"/>
  <c r="M13" i="8"/>
  <c r="L13" i="8"/>
  <c r="K13" i="8"/>
  <c r="J13" i="8"/>
  <c r="I13" i="8"/>
  <c r="R12" i="8"/>
  <c r="Q12" i="8"/>
  <c r="P12" i="8"/>
  <c r="O12" i="8"/>
  <c r="N12" i="8"/>
  <c r="R11" i="8"/>
  <c r="Q11" i="8"/>
  <c r="P11" i="8"/>
  <c r="O11" i="8"/>
  <c r="N11" i="8"/>
  <c r="R10" i="8"/>
  <c r="Q10" i="8"/>
  <c r="P10" i="8"/>
  <c r="O10" i="8"/>
  <c r="N10" i="8"/>
  <c r="M8" i="8"/>
  <c r="L8" i="8"/>
  <c r="K8" i="8"/>
  <c r="J8" i="8"/>
  <c r="I8" i="8"/>
  <c r="R7" i="8"/>
  <c r="Q7" i="8"/>
  <c r="P7" i="8"/>
  <c r="O7" i="8"/>
  <c r="N7" i="8"/>
  <c r="M7" i="8"/>
  <c r="L7" i="8"/>
  <c r="K7" i="8"/>
  <c r="J7" i="8"/>
  <c r="I7" i="8"/>
  <c r="R6" i="8"/>
  <c r="Q6" i="8"/>
  <c r="P6" i="8"/>
  <c r="O6" i="8"/>
  <c r="N6" i="8"/>
  <c r="M6" i="8"/>
  <c r="L6" i="8"/>
  <c r="K6" i="8"/>
  <c r="J6" i="8"/>
  <c r="I6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A1" i="8"/>
  <c r="M42" i="7"/>
  <c r="L42" i="7"/>
  <c r="K42" i="7"/>
  <c r="J42" i="7"/>
  <c r="R41" i="7"/>
  <c r="Q41" i="7"/>
  <c r="P41" i="7"/>
  <c r="O41" i="7"/>
  <c r="N41" i="7"/>
  <c r="M41" i="7"/>
  <c r="L41" i="7"/>
  <c r="K41" i="7"/>
  <c r="J41" i="7"/>
  <c r="R40" i="7"/>
  <c r="Q40" i="7"/>
  <c r="P40" i="7"/>
  <c r="O40" i="7"/>
  <c r="N40" i="7"/>
  <c r="M40" i="7"/>
  <c r="L40" i="7"/>
  <c r="K40" i="7"/>
  <c r="J40" i="7"/>
  <c r="M39" i="7"/>
  <c r="L39" i="7"/>
  <c r="K39" i="7"/>
  <c r="J39" i="7"/>
  <c r="R38" i="7"/>
  <c r="Q38" i="7"/>
  <c r="P38" i="7"/>
  <c r="O38" i="7"/>
  <c r="N38" i="7"/>
  <c r="M38" i="7"/>
  <c r="L38" i="7"/>
  <c r="K38" i="7"/>
  <c r="J38" i="7"/>
  <c r="M37" i="7"/>
  <c r="L37" i="7"/>
  <c r="K37" i="7"/>
  <c r="J37" i="7"/>
  <c r="M36" i="7"/>
  <c r="L36" i="7"/>
  <c r="K36" i="7"/>
  <c r="J36" i="7"/>
  <c r="R33" i="7"/>
  <c r="Q33" i="7"/>
  <c r="M33" i="7"/>
  <c r="L33" i="7"/>
  <c r="K33" i="7"/>
  <c r="J33" i="7"/>
  <c r="I33" i="7"/>
  <c r="D33" i="7"/>
  <c r="R32" i="7"/>
  <c r="Q32" i="7"/>
  <c r="P32" i="7"/>
  <c r="O32" i="7"/>
  <c r="N32" i="7"/>
  <c r="M32" i="7"/>
  <c r="L32" i="7"/>
  <c r="K32" i="7"/>
  <c r="J32" i="7"/>
  <c r="I32" i="7"/>
  <c r="D32" i="7"/>
  <c r="R31" i="7"/>
  <c r="Q31" i="7"/>
  <c r="P31" i="7"/>
  <c r="O31" i="7"/>
  <c r="N31" i="7"/>
  <c r="L31" i="7"/>
  <c r="K31" i="7"/>
  <c r="J31" i="7"/>
  <c r="I31" i="7"/>
  <c r="D31" i="7"/>
  <c r="R29" i="7"/>
  <c r="Q29" i="7"/>
  <c r="P29" i="7"/>
  <c r="O29" i="7"/>
  <c r="N29" i="7"/>
  <c r="M29" i="7"/>
  <c r="L29" i="7"/>
  <c r="K29" i="7"/>
  <c r="J29" i="7"/>
  <c r="I29" i="7"/>
  <c r="D29" i="7"/>
  <c r="C29" i="7"/>
  <c r="L28" i="7"/>
  <c r="K28" i="7"/>
  <c r="J28" i="7"/>
  <c r="I28" i="7"/>
  <c r="D28" i="7"/>
  <c r="C28" i="7"/>
  <c r="L27" i="7"/>
  <c r="K27" i="7"/>
  <c r="J27" i="7"/>
  <c r="I27" i="7"/>
  <c r="D27" i="7"/>
  <c r="C27" i="7"/>
  <c r="M24" i="7"/>
  <c r="L24" i="7"/>
  <c r="K24" i="7"/>
  <c r="J24" i="7"/>
  <c r="D24" i="7"/>
  <c r="M22" i="7"/>
  <c r="L22" i="7"/>
  <c r="K22" i="7"/>
  <c r="J22" i="7"/>
  <c r="D22" i="7"/>
  <c r="M20" i="7"/>
  <c r="L20" i="7"/>
  <c r="K20" i="7"/>
  <c r="J20" i="7"/>
  <c r="I20" i="7"/>
  <c r="D20" i="7"/>
  <c r="C20" i="7"/>
  <c r="M18" i="7"/>
  <c r="L18" i="7"/>
  <c r="K18" i="7"/>
  <c r="J18" i="7"/>
  <c r="I18" i="7"/>
  <c r="D18" i="7"/>
  <c r="C18" i="7"/>
  <c r="R17" i="7"/>
  <c r="Q17" i="7"/>
  <c r="P17" i="7"/>
  <c r="O17" i="7"/>
  <c r="N17" i="7"/>
  <c r="M17" i="7"/>
  <c r="L17" i="7"/>
  <c r="K17" i="7"/>
  <c r="J17" i="7"/>
  <c r="I17" i="7"/>
  <c r="D17" i="7"/>
  <c r="C17" i="7"/>
  <c r="R16" i="7"/>
  <c r="Q16" i="7"/>
  <c r="P16" i="7"/>
  <c r="O16" i="7"/>
  <c r="N16" i="7"/>
  <c r="M16" i="7"/>
  <c r="L16" i="7"/>
  <c r="K16" i="7"/>
  <c r="J16" i="7"/>
  <c r="I16" i="7"/>
  <c r="D16" i="7"/>
  <c r="C16" i="7"/>
  <c r="M15" i="7"/>
  <c r="L15" i="7"/>
  <c r="K15" i="7"/>
  <c r="J15" i="7"/>
  <c r="I15" i="7"/>
  <c r="D15" i="7"/>
  <c r="C15" i="7"/>
  <c r="M13" i="7"/>
  <c r="L13" i="7"/>
  <c r="K13" i="7"/>
  <c r="J13" i="7"/>
  <c r="I13" i="7"/>
  <c r="D13" i="7"/>
  <c r="C13" i="7"/>
  <c r="R12" i="7"/>
  <c r="Q12" i="7"/>
  <c r="P12" i="7"/>
  <c r="O12" i="7"/>
  <c r="N12" i="7"/>
  <c r="M12" i="7"/>
  <c r="L12" i="7"/>
  <c r="K12" i="7"/>
  <c r="J12" i="7"/>
  <c r="I12" i="7"/>
  <c r="D12" i="7"/>
  <c r="C12" i="7"/>
  <c r="M11" i="7"/>
  <c r="L11" i="7"/>
  <c r="K11" i="7"/>
  <c r="J11" i="7"/>
  <c r="I11" i="7"/>
  <c r="D11" i="7"/>
  <c r="C11" i="7"/>
  <c r="M10" i="7"/>
  <c r="L10" i="7"/>
  <c r="K10" i="7"/>
  <c r="J10" i="7"/>
  <c r="I10" i="7"/>
  <c r="D10" i="7"/>
  <c r="C10" i="7"/>
  <c r="R7" i="7"/>
  <c r="Q7" i="7"/>
  <c r="P7" i="7"/>
  <c r="O7" i="7"/>
  <c r="N7" i="7"/>
  <c r="M7" i="7"/>
  <c r="L7" i="7"/>
  <c r="K7" i="7"/>
  <c r="J7" i="7"/>
  <c r="I7" i="7"/>
  <c r="D7" i="7"/>
  <c r="C7" i="7"/>
  <c r="R6" i="7"/>
  <c r="Q6" i="7"/>
  <c r="P6" i="7"/>
  <c r="O6" i="7"/>
  <c r="N6" i="7"/>
  <c r="M6" i="7"/>
  <c r="L6" i="7"/>
  <c r="K6" i="7"/>
  <c r="J6" i="7"/>
  <c r="I6" i="7"/>
  <c r="D6" i="7"/>
  <c r="C6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C5" i="7"/>
  <c r="A1" i="7"/>
  <c r="H45" i="14"/>
  <c r="G45" i="14"/>
  <c r="F45" i="14"/>
  <c r="E45" i="14"/>
  <c r="D45" i="14"/>
  <c r="H44" i="14"/>
  <c r="G44" i="14"/>
  <c r="F44" i="14"/>
  <c r="E44" i="14"/>
  <c r="D44" i="14"/>
  <c r="H43" i="14"/>
  <c r="G43" i="14"/>
  <c r="F43" i="14"/>
  <c r="E43" i="14"/>
  <c r="D43" i="14"/>
  <c r="M42" i="14"/>
  <c r="L42" i="14"/>
  <c r="K42" i="14"/>
  <c r="J42" i="14"/>
  <c r="I42" i="14"/>
  <c r="H42" i="14"/>
  <c r="G42" i="14"/>
  <c r="F42" i="14"/>
  <c r="E42" i="14"/>
  <c r="D42" i="14"/>
  <c r="G38" i="14"/>
  <c r="F38" i="14"/>
  <c r="E38" i="14"/>
  <c r="D38" i="14"/>
  <c r="G37" i="14"/>
  <c r="F37" i="14"/>
  <c r="E37" i="14"/>
  <c r="D37" i="14"/>
  <c r="H36" i="14"/>
  <c r="G36" i="14"/>
  <c r="F36" i="14"/>
  <c r="E36" i="14"/>
  <c r="D36" i="14"/>
  <c r="H35" i="14"/>
  <c r="G35" i="14"/>
  <c r="F35" i="14"/>
  <c r="E35" i="14"/>
  <c r="D35" i="14"/>
  <c r="H32" i="14"/>
  <c r="G32" i="14"/>
  <c r="F32" i="14"/>
  <c r="E32" i="14"/>
  <c r="D32" i="14"/>
  <c r="H31" i="14"/>
  <c r="G31" i="14"/>
  <c r="F31" i="14"/>
  <c r="E31" i="14"/>
  <c r="D31" i="14"/>
  <c r="H30" i="14"/>
  <c r="G30" i="14"/>
  <c r="F30" i="14"/>
  <c r="E30" i="14"/>
  <c r="D30" i="14"/>
  <c r="H27" i="14"/>
  <c r="G27" i="14"/>
  <c r="F27" i="14"/>
  <c r="E27" i="14"/>
  <c r="D27" i="14"/>
  <c r="M25" i="14"/>
  <c r="L25" i="14"/>
  <c r="K25" i="14"/>
  <c r="J25" i="14"/>
  <c r="I25" i="14"/>
  <c r="H25" i="14"/>
  <c r="G25" i="14"/>
  <c r="F25" i="14"/>
  <c r="E25" i="14"/>
  <c r="D25" i="14"/>
  <c r="G21" i="14"/>
  <c r="F21" i="14"/>
  <c r="E21" i="14"/>
  <c r="D21" i="14"/>
  <c r="G20" i="14"/>
  <c r="F20" i="14"/>
  <c r="E20" i="14"/>
  <c r="D20" i="14"/>
  <c r="G19" i="14"/>
  <c r="F19" i="14"/>
  <c r="E19" i="14"/>
  <c r="D19" i="14"/>
  <c r="G18" i="14"/>
  <c r="F18" i="14"/>
  <c r="E18" i="14"/>
  <c r="D18" i="14"/>
  <c r="G15" i="14"/>
  <c r="F15" i="14"/>
  <c r="E15" i="14"/>
  <c r="D15" i="14"/>
  <c r="G14" i="14"/>
  <c r="F14" i="14"/>
  <c r="E14" i="14"/>
  <c r="D14" i="14"/>
  <c r="G13" i="14"/>
  <c r="F13" i="14"/>
  <c r="E13" i="14"/>
  <c r="D13" i="14"/>
  <c r="H10" i="14"/>
  <c r="G10" i="14"/>
  <c r="F10" i="14"/>
  <c r="E10" i="14"/>
  <c r="D10" i="14"/>
  <c r="H9" i="14"/>
  <c r="G9" i="14"/>
  <c r="F9" i="14"/>
  <c r="E9" i="14"/>
  <c r="D9" i="14"/>
  <c r="H8" i="14"/>
  <c r="G8" i="14"/>
  <c r="F8" i="14"/>
  <c r="E8" i="14"/>
  <c r="D8" i="14"/>
  <c r="M6" i="14"/>
  <c r="L6" i="14"/>
  <c r="K6" i="14"/>
  <c r="J6" i="14"/>
  <c r="I6" i="14"/>
  <c r="H6" i="14"/>
  <c r="G6" i="14"/>
  <c r="F6" i="14"/>
  <c r="E6" i="14"/>
  <c r="D6" i="14"/>
  <c r="A1" i="14"/>
  <c r="G52" i="6"/>
  <c r="F52" i="6"/>
  <c r="N51" i="6"/>
  <c r="G49" i="6"/>
  <c r="F49" i="6"/>
  <c r="G46" i="6"/>
  <c r="F46" i="6"/>
  <c r="R45" i="6"/>
  <c r="Q45" i="6"/>
  <c r="P45" i="6"/>
  <c r="O45" i="6"/>
  <c r="N45" i="6"/>
  <c r="R44" i="6"/>
  <c r="Q44" i="6"/>
  <c r="P44" i="6"/>
  <c r="O44" i="6"/>
  <c r="N44" i="6"/>
  <c r="R40" i="6"/>
  <c r="Q40" i="6"/>
  <c r="P40" i="6"/>
  <c r="O40" i="6"/>
  <c r="N40" i="6"/>
  <c r="M37" i="6"/>
  <c r="L37" i="6"/>
  <c r="K37" i="6"/>
  <c r="J37" i="6"/>
  <c r="I37" i="6"/>
  <c r="G37" i="6"/>
  <c r="F37" i="6"/>
  <c r="R35" i="6"/>
  <c r="Q35" i="6"/>
  <c r="P35" i="6"/>
  <c r="O35" i="6"/>
  <c r="N35" i="6"/>
  <c r="G35" i="6"/>
  <c r="F35" i="6"/>
  <c r="R29" i="6"/>
  <c r="Q29" i="6"/>
  <c r="P29" i="6"/>
  <c r="O29" i="6"/>
  <c r="N29" i="6"/>
  <c r="G26" i="6"/>
  <c r="F26" i="6"/>
  <c r="R25" i="6"/>
  <c r="Q25" i="6"/>
  <c r="P25" i="6"/>
  <c r="O25" i="6"/>
  <c r="N25" i="6"/>
  <c r="R10" i="6"/>
  <c r="Q10" i="6"/>
  <c r="P10" i="6"/>
  <c r="O10" i="6"/>
  <c r="N10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A1" i="6"/>
  <c r="G48" i="3"/>
  <c r="F48" i="3"/>
  <c r="E48" i="3"/>
  <c r="D48" i="3"/>
  <c r="C48" i="3"/>
  <c r="G47" i="3"/>
  <c r="F47" i="3"/>
  <c r="E47" i="3"/>
  <c r="D47" i="3"/>
  <c r="C47" i="3"/>
  <c r="N46" i="3"/>
  <c r="G45" i="3"/>
  <c r="F45" i="3"/>
  <c r="E45" i="3"/>
  <c r="D45" i="3"/>
  <c r="C45" i="3"/>
  <c r="G35" i="3"/>
  <c r="F35" i="3"/>
  <c r="E35" i="3"/>
  <c r="D35" i="3"/>
  <c r="C35" i="3"/>
  <c r="R34" i="3"/>
  <c r="Q34" i="3"/>
  <c r="P34" i="3"/>
  <c r="O34" i="3"/>
  <c r="N34" i="3"/>
  <c r="R33" i="3"/>
  <c r="Q33" i="3"/>
  <c r="P33" i="3"/>
  <c r="O33" i="3"/>
  <c r="N33" i="3"/>
  <c r="R32" i="3"/>
  <c r="Q32" i="3"/>
  <c r="P32" i="3"/>
  <c r="O32" i="3"/>
  <c r="N32" i="3"/>
  <c r="G28" i="3"/>
  <c r="F28" i="3"/>
  <c r="E28" i="3"/>
  <c r="D28" i="3"/>
  <c r="C28" i="3"/>
  <c r="R27" i="3"/>
  <c r="Q27" i="3"/>
  <c r="P27" i="3"/>
  <c r="O27" i="3"/>
  <c r="N27" i="3"/>
  <c r="R26" i="3"/>
  <c r="Q26" i="3"/>
  <c r="P26" i="3"/>
  <c r="O26" i="3"/>
  <c r="N26" i="3"/>
  <c r="R24" i="3"/>
  <c r="Q24" i="3"/>
  <c r="P24" i="3"/>
  <c r="O24" i="3"/>
  <c r="N24" i="3"/>
  <c r="G19" i="3"/>
  <c r="F19" i="3"/>
  <c r="E19" i="3"/>
  <c r="D19" i="3"/>
  <c r="C19" i="3"/>
  <c r="R18" i="3"/>
  <c r="Q18" i="3"/>
  <c r="P18" i="3"/>
  <c r="O18" i="3"/>
  <c r="N18" i="3"/>
  <c r="R17" i="3"/>
  <c r="Q17" i="3"/>
  <c r="P17" i="3"/>
  <c r="O17" i="3"/>
  <c r="N17" i="3"/>
  <c r="R16" i="3"/>
  <c r="Q16" i="3"/>
  <c r="P16" i="3"/>
  <c r="O16" i="3"/>
  <c r="N16" i="3"/>
  <c r="R15" i="3"/>
  <c r="Q15" i="3"/>
  <c r="P15" i="3"/>
  <c r="O15" i="3"/>
  <c r="N15" i="3"/>
  <c r="R14" i="3"/>
  <c r="Q14" i="3"/>
  <c r="P14" i="3"/>
  <c r="O14" i="3"/>
  <c r="N14" i="3"/>
  <c r="G12" i="3"/>
  <c r="F12" i="3"/>
  <c r="E12" i="3"/>
  <c r="D12" i="3"/>
  <c r="C12" i="3"/>
  <c r="R11" i="3"/>
  <c r="Q11" i="3"/>
  <c r="P11" i="3"/>
  <c r="O11" i="3"/>
  <c r="N11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A1" i="3"/>
  <c r="R90" i="4"/>
  <c r="Q90" i="4"/>
  <c r="P90" i="4"/>
  <c r="O90" i="4"/>
  <c r="N90" i="4"/>
  <c r="R88" i="4"/>
  <c r="Q88" i="4"/>
  <c r="P88" i="4"/>
  <c r="O88" i="4"/>
  <c r="N88" i="4"/>
  <c r="M88" i="4"/>
  <c r="L88" i="4"/>
  <c r="K88" i="4"/>
  <c r="J88" i="4"/>
  <c r="R87" i="4"/>
  <c r="Q87" i="4"/>
  <c r="P87" i="4"/>
  <c r="O87" i="4"/>
  <c r="N87" i="4"/>
  <c r="R84" i="4"/>
  <c r="Q84" i="4"/>
  <c r="P84" i="4"/>
  <c r="O84" i="4"/>
  <c r="N84" i="4"/>
  <c r="R82" i="4"/>
  <c r="Q82" i="4"/>
  <c r="P82" i="4"/>
  <c r="O82" i="4"/>
  <c r="N82" i="4"/>
  <c r="M82" i="4"/>
  <c r="L82" i="4"/>
  <c r="K82" i="4"/>
  <c r="J82" i="4"/>
  <c r="R81" i="4"/>
  <c r="Q81" i="4"/>
  <c r="P81" i="4"/>
  <c r="O81" i="4"/>
  <c r="N81" i="4"/>
  <c r="N80" i="4"/>
  <c r="R79" i="4"/>
  <c r="Q79" i="4"/>
  <c r="P79" i="4"/>
  <c r="O79" i="4"/>
  <c r="N79" i="4"/>
  <c r="M79" i="4"/>
  <c r="L79" i="4"/>
  <c r="K79" i="4"/>
  <c r="J79" i="4"/>
  <c r="R78" i="4"/>
  <c r="Q78" i="4"/>
  <c r="P78" i="4"/>
  <c r="O78" i="4"/>
  <c r="N78" i="4"/>
  <c r="R76" i="4"/>
  <c r="Q76" i="4"/>
  <c r="P76" i="4"/>
  <c r="O76" i="4"/>
  <c r="N76" i="4"/>
  <c r="M76" i="4"/>
  <c r="L76" i="4"/>
  <c r="K76" i="4"/>
  <c r="J76" i="4"/>
  <c r="R75" i="4"/>
  <c r="Q75" i="4"/>
  <c r="P75" i="4"/>
  <c r="O75" i="4"/>
  <c r="N75" i="4"/>
  <c r="R73" i="4"/>
  <c r="Q73" i="4"/>
  <c r="P73" i="4"/>
  <c r="O73" i="4"/>
  <c r="N73" i="4"/>
  <c r="M73" i="4"/>
  <c r="L73" i="4"/>
  <c r="K73" i="4"/>
  <c r="J73" i="4"/>
  <c r="R72" i="4"/>
  <c r="Q72" i="4"/>
  <c r="P72" i="4"/>
  <c r="O72" i="4"/>
  <c r="N72" i="4"/>
  <c r="R70" i="4"/>
  <c r="Q70" i="4"/>
  <c r="P70" i="4"/>
  <c r="O70" i="4"/>
  <c r="N70" i="4"/>
  <c r="M70" i="4"/>
  <c r="L70" i="4"/>
  <c r="K70" i="4"/>
  <c r="J70" i="4"/>
  <c r="R69" i="4"/>
  <c r="Q69" i="4"/>
  <c r="P69" i="4"/>
  <c r="O69" i="4"/>
  <c r="N69" i="4"/>
  <c r="N66" i="4"/>
  <c r="M66" i="4"/>
  <c r="L66" i="4"/>
  <c r="K66" i="4"/>
  <c r="J66" i="4"/>
  <c r="I66" i="4"/>
  <c r="H66" i="4"/>
  <c r="G66" i="4"/>
  <c r="F66" i="4"/>
  <c r="E66" i="4"/>
  <c r="D66" i="4"/>
  <c r="C66" i="4"/>
  <c r="M62" i="4"/>
  <c r="L62" i="4"/>
  <c r="K62" i="4"/>
  <c r="J62" i="4"/>
  <c r="E62" i="4"/>
  <c r="D62" i="4"/>
  <c r="M61" i="4"/>
  <c r="L61" i="4"/>
  <c r="K61" i="4"/>
  <c r="J61" i="4"/>
  <c r="E61" i="4"/>
  <c r="D61" i="4"/>
  <c r="M60" i="4"/>
  <c r="L60" i="4"/>
  <c r="K60" i="4"/>
  <c r="J60" i="4"/>
  <c r="E60" i="4"/>
  <c r="D60" i="4"/>
  <c r="M59" i="4"/>
  <c r="L59" i="4"/>
  <c r="K59" i="4"/>
  <c r="J59" i="4"/>
  <c r="E59" i="4"/>
  <c r="D59" i="4"/>
  <c r="M58" i="4"/>
  <c r="L58" i="4"/>
  <c r="K58" i="4"/>
  <c r="J58" i="4"/>
  <c r="E58" i="4"/>
  <c r="D58" i="4"/>
  <c r="M56" i="4"/>
  <c r="L56" i="4"/>
  <c r="K56" i="4"/>
  <c r="J56" i="4"/>
  <c r="E56" i="4"/>
  <c r="D56" i="4"/>
  <c r="M55" i="4"/>
  <c r="L55" i="4"/>
  <c r="K55" i="4"/>
  <c r="J55" i="4"/>
  <c r="E55" i="4"/>
  <c r="D55" i="4"/>
  <c r="M54" i="4"/>
  <c r="L54" i="4"/>
  <c r="K54" i="4"/>
  <c r="J54" i="4"/>
  <c r="E54" i="4"/>
  <c r="D54" i="4"/>
  <c r="M53" i="4"/>
  <c r="L53" i="4"/>
  <c r="K53" i="4"/>
  <c r="J53" i="4"/>
  <c r="E53" i="4"/>
  <c r="D53" i="4"/>
  <c r="M51" i="4"/>
  <c r="L51" i="4"/>
  <c r="K51" i="4"/>
  <c r="J51" i="4"/>
  <c r="E51" i="4"/>
  <c r="D51" i="4"/>
  <c r="M50" i="4"/>
  <c r="L50" i="4"/>
  <c r="K50" i="4"/>
  <c r="J50" i="4"/>
  <c r="E50" i="4"/>
  <c r="D50" i="4"/>
  <c r="M49" i="4"/>
  <c r="L49" i="4"/>
  <c r="K49" i="4"/>
  <c r="J49" i="4"/>
  <c r="E49" i="4"/>
  <c r="D49" i="4"/>
  <c r="N48" i="4"/>
  <c r="M48" i="4"/>
  <c r="L48" i="4"/>
  <c r="K48" i="4"/>
  <c r="J48" i="4"/>
  <c r="I48" i="4"/>
  <c r="H48" i="4"/>
  <c r="G48" i="4"/>
  <c r="F48" i="4"/>
  <c r="E48" i="4"/>
  <c r="D48" i="4"/>
  <c r="C48" i="4"/>
  <c r="E45" i="4"/>
  <c r="D45" i="4"/>
  <c r="C45" i="4"/>
  <c r="R43" i="4"/>
  <c r="Q43" i="4"/>
  <c r="P43" i="4"/>
  <c r="O43" i="4"/>
  <c r="N43" i="4"/>
  <c r="M43" i="4"/>
  <c r="L43" i="4"/>
  <c r="K43" i="4"/>
  <c r="J43" i="4"/>
  <c r="I43" i="4"/>
  <c r="E43" i="4"/>
  <c r="D43" i="4"/>
  <c r="C43" i="4"/>
  <c r="R42" i="4"/>
  <c r="Q42" i="4"/>
  <c r="P42" i="4"/>
  <c r="O42" i="4"/>
  <c r="N42" i="4"/>
  <c r="M42" i="4"/>
  <c r="L42" i="4"/>
  <c r="K42" i="4"/>
  <c r="J42" i="4"/>
  <c r="I42" i="4"/>
  <c r="E42" i="4"/>
  <c r="D42" i="4"/>
  <c r="C42" i="4"/>
  <c r="R41" i="4"/>
  <c r="Q41" i="4"/>
  <c r="P41" i="4"/>
  <c r="O41" i="4"/>
  <c r="N41" i="4"/>
  <c r="M41" i="4"/>
  <c r="L41" i="4"/>
  <c r="K41" i="4"/>
  <c r="J41" i="4"/>
  <c r="I41" i="4"/>
  <c r="E41" i="4"/>
  <c r="D41" i="4"/>
  <c r="C41" i="4"/>
  <c r="R40" i="4"/>
  <c r="Q40" i="4"/>
  <c r="P40" i="4"/>
  <c r="O40" i="4"/>
  <c r="N40" i="4"/>
  <c r="M40" i="4"/>
  <c r="L40" i="4"/>
  <c r="K40" i="4"/>
  <c r="J40" i="4"/>
  <c r="I40" i="4"/>
  <c r="E40" i="4"/>
  <c r="D40" i="4"/>
  <c r="C40" i="4"/>
  <c r="R39" i="4"/>
  <c r="Q39" i="4"/>
  <c r="P39" i="4"/>
  <c r="O39" i="4"/>
  <c r="N39" i="4"/>
  <c r="M39" i="4"/>
  <c r="L39" i="4"/>
  <c r="K39" i="4"/>
  <c r="J39" i="4"/>
  <c r="I39" i="4"/>
  <c r="E39" i="4"/>
  <c r="D39" i="4"/>
  <c r="C39" i="4"/>
  <c r="R37" i="4"/>
  <c r="Q37" i="4"/>
  <c r="P37" i="4"/>
  <c r="O37" i="4"/>
  <c r="N37" i="4"/>
  <c r="M37" i="4"/>
  <c r="L37" i="4"/>
  <c r="K37" i="4"/>
  <c r="J37" i="4"/>
  <c r="I37" i="4"/>
  <c r="E37" i="4"/>
  <c r="D37" i="4"/>
  <c r="C37" i="4"/>
  <c r="R36" i="4"/>
  <c r="Q36" i="4"/>
  <c r="P36" i="4"/>
  <c r="O36" i="4"/>
  <c r="N36" i="4"/>
  <c r="M36" i="4"/>
  <c r="L36" i="4"/>
  <c r="K36" i="4"/>
  <c r="J36" i="4"/>
  <c r="I36" i="4"/>
  <c r="E36" i="4"/>
  <c r="D36" i="4"/>
  <c r="C36" i="4"/>
  <c r="R35" i="4"/>
  <c r="Q35" i="4"/>
  <c r="P35" i="4"/>
  <c r="O35" i="4"/>
  <c r="N35" i="4"/>
  <c r="M35" i="4"/>
  <c r="L35" i="4"/>
  <c r="K35" i="4"/>
  <c r="J35" i="4"/>
  <c r="I35" i="4"/>
  <c r="E35" i="4"/>
  <c r="D35" i="4"/>
  <c r="C35" i="4"/>
  <c r="R34" i="4"/>
  <c r="Q34" i="4"/>
  <c r="P34" i="4"/>
  <c r="O34" i="4"/>
  <c r="N34" i="4"/>
  <c r="M34" i="4"/>
  <c r="L34" i="4"/>
  <c r="K34" i="4"/>
  <c r="J34" i="4"/>
  <c r="I34" i="4"/>
  <c r="E34" i="4"/>
  <c r="D34" i="4"/>
  <c r="C34" i="4"/>
  <c r="R32" i="4"/>
  <c r="Q32" i="4"/>
  <c r="P32" i="4"/>
  <c r="O32" i="4"/>
  <c r="N32" i="4"/>
  <c r="M32" i="4"/>
  <c r="L32" i="4"/>
  <c r="K32" i="4"/>
  <c r="J32" i="4"/>
  <c r="I32" i="4"/>
  <c r="E32" i="4"/>
  <c r="D32" i="4"/>
  <c r="C32" i="4"/>
  <c r="R31" i="4"/>
  <c r="Q31" i="4"/>
  <c r="P31" i="4"/>
  <c r="O31" i="4"/>
  <c r="N31" i="4"/>
  <c r="M31" i="4"/>
  <c r="L31" i="4"/>
  <c r="K31" i="4"/>
  <c r="J31" i="4"/>
  <c r="I31" i="4"/>
  <c r="E31" i="4"/>
  <c r="D31" i="4"/>
  <c r="C31" i="4"/>
  <c r="R30" i="4"/>
  <c r="Q30" i="4"/>
  <c r="P30" i="4"/>
  <c r="O30" i="4"/>
  <c r="N30" i="4"/>
  <c r="M30" i="4"/>
  <c r="L30" i="4"/>
  <c r="K30" i="4"/>
  <c r="J30" i="4"/>
  <c r="I30" i="4"/>
  <c r="E30" i="4"/>
  <c r="D30" i="4"/>
  <c r="C30" i="4"/>
  <c r="N29" i="4"/>
  <c r="M29" i="4"/>
  <c r="L29" i="4"/>
  <c r="K29" i="4"/>
  <c r="J29" i="4"/>
  <c r="I29" i="4"/>
  <c r="H29" i="4"/>
  <c r="G29" i="4"/>
  <c r="F29" i="4"/>
  <c r="E29" i="4"/>
  <c r="D29" i="4"/>
  <c r="C29" i="4"/>
  <c r="R24" i="4"/>
  <c r="Q24" i="4"/>
  <c r="P24" i="4"/>
  <c r="O24" i="4"/>
  <c r="N24" i="4"/>
  <c r="R23" i="4"/>
  <c r="Q23" i="4"/>
  <c r="P23" i="4"/>
  <c r="O23" i="4"/>
  <c r="N23" i="4"/>
  <c r="F21" i="4"/>
  <c r="E21" i="4"/>
  <c r="D21" i="4"/>
  <c r="C21" i="4"/>
  <c r="F20" i="4"/>
  <c r="E20" i="4"/>
  <c r="D20" i="4"/>
  <c r="C20" i="4"/>
  <c r="G19" i="4"/>
  <c r="F19" i="4"/>
  <c r="E19" i="4"/>
  <c r="D19" i="4"/>
  <c r="C19" i="4"/>
  <c r="R18" i="4"/>
  <c r="Q18" i="4"/>
  <c r="P18" i="4"/>
  <c r="O18" i="4"/>
  <c r="N18" i="4"/>
  <c r="K17" i="4"/>
  <c r="J17" i="4"/>
  <c r="I17" i="4"/>
  <c r="G17" i="4"/>
  <c r="F17" i="4"/>
  <c r="E17" i="4"/>
  <c r="D17" i="4"/>
  <c r="C17" i="4"/>
  <c r="R16" i="4"/>
  <c r="Q16" i="4"/>
  <c r="P16" i="4"/>
  <c r="O16" i="4"/>
  <c r="N16" i="4"/>
  <c r="K15" i="4"/>
  <c r="J15" i="4"/>
  <c r="I15" i="4"/>
  <c r="G15" i="4"/>
  <c r="F15" i="4"/>
  <c r="E15" i="4"/>
  <c r="D15" i="4"/>
  <c r="C15" i="4"/>
  <c r="R12" i="4"/>
  <c r="Q12" i="4"/>
  <c r="P12" i="4"/>
  <c r="O12" i="4"/>
  <c r="N12" i="4"/>
  <c r="G12" i="4"/>
  <c r="F12" i="4"/>
  <c r="E12" i="4"/>
  <c r="D12" i="4"/>
  <c r="C12" i="4"/>
  <c r="R11" i="4"/>
  <c r="Q11" i="4"/>
  <c r="P11" i="4"/>
  <c r="O11" i="4"/>
  <c r="N11" i="4"/>
  <c r="K11" i="4"/>
  <c r="J11" i="4"/>
  <c r="I11" i="4"/>
  <c r="R10" i="4"/>
  <c r="Q10" i="4"/>
  <c r="P10" i="4"/>
  <c r="O10" i="4"/>
  <c r="N10" i="4"/>
  <c r="R8" i="4"/>
  <c r="Q8" i="4"/>
  <c r="P8" i="4"/>
  <c r="O8" i="4"/>
  <c r="N8" i="4"/>
  <c r="M8" i="4"/>
  <c r="L8" i="4"/>
  <c r="K8" i="4"/>
  <c r="J8" i="4"/>
  <c r="I8" i="4"/>
  <c r="G8" i="4"/>
  <c r="F8" i="4"/>
  <c r="E8" i="4"/>
  <c r="D8" i="4"/>
  <c r="C8" i="4"/>
  <c r="R7" i="4"/>
  <c r="Q7" i="4"/>
  <c r="P7" i="4"/>
  <c r="O7" i="4"/>
  <c r="N7" i="4"/>
  <c r="R6" i="4"/>
  <c r="Q6" i="4"/>
  <c r="P6" i="4"/>
  <c r="O6" i="4"/>
  <c r="N6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L8" i="12" l="1"/>
  <c r="L10" i="12"/>
  <c r="R47" i="3"/>
  <c r="N12" i="12"/>
  <c r="P7" i="10"/>
  <c r="N22" i="7"/>
  <c r="O22" i="7"/>
  <c r="Q42" i="7"/>
  <c r="Q22" i="6"/>
  <c r="Q48" i="3"/>
  <c r="R10" i="3"/>
  <c r="N20" i="4"/>
  <c r="N48" i="3"/>
  <c r="N8" i="12"/>
  <c r="Q9" i="3"/>
  <c r="O22" i="6"/>
  <c r="O42" i="7"/>
  <c r="P9" i="3"/>
  <c r="Q36" i="7"/>
  <c r="O30" i="3"/>
  <c r="N47" i="12"/>
  <c r="M10" i="12"/>
  <c r="Q23" i="6"/>
  <c r="O46" i="6"/>
  <c r="N30" i="3"/>
  <c r="O8" i="11"/>
  <c r="N18" i="7"/>
  <c r="R7" i="10"/>
  <c r="H21" i="14"/>
  <c r="O12" i="12"/>
  <c r="Q35" i="3"/>
  <c r="O51" i="3"/>
  <c r="R51" i="3"/>
  <c r="O10" i="12"/>
  <c r="N20" i="7"/>
  <c r="R9" i="3"/>
  <c r="O19" i="3"/>
  <c r="P18" i="7"/>
  <c r="L47" i="12"/>
  <c r="O51" i="6"/>
  <c r="L45" i="12"/>
  <c r="P51" i="6"/>
  <c r="P10" i="3"/>
  <c r="Q37" i="7"/>
  <c r="P8" i="11"/>
  <c r="Q8" i="11"/>
  <c r="O20" i="4"/>
  <c r="M31" i="7"/>
  <c r="N46" i="6"/>
  <c r="O36" i="7"/>
  <c r="N13" i="7"/>
  <c r="Q11" i="11"/>
  <c r="Q13" i="11"/>
  <c r="R42" i="6"/>
  <c r="R46" i="6"/>
  <c r="O9" i="3"/>
  <c r="O43" i="6"/>
  <c r="L12" i="12"/>
  <c r="R11" i="11"/>
  <c r="R13" i="11"/>
  <c r="O18" i="7"/>
  <c r="M12" i="12"/>
  <c r="O46" i="3"/>
  <c r="O15" i="12"/>
  <c r="O19" i="12"/>
  <c r="Q18" i="7"/>
  <c r="N22" i="6"/>
  <c r="N36" i="7"/>
  <c r="N42" i="7"/>
  <c r="P35" i="3"/>
  <c r="P48" i="3"/>
  <c r="R13" i="7"/>
  <c r="R20" i="7"/>
  <c r="P25" i="3"/>
  <c r="P28" i="3"/>
  <c r="Q10" i="3"/>
  <c r="M45" i="12"/>
  <c r="M47" i="12"/>
  <c r="O48" i="3"/>
  <c r="K45" i="12"/>
  <c r="K47" i="12"/>
  <c r="Q20" i="4"/>
  <c r="P17" i="10"/>
  <c r="P22" i="6"/>
  <c r="P36" i="7"/>
  <c r="P42" i="7"/>
  <c r="N51" i="3"/>
  <c r="P51" i="3"/>
  <c r="P30" i="3"/>
  <c r="O7" i="10"/>
  <c r="R20" i="4"/>
  <c r="N37" i="7"/>
  <c r="N23" i="6"/>
  <c r="R39" i="7"/>
  <c r="R24" i="6"/>
  <c r="P13" i="7"/>
  <c r="P20" i="7"/>
  <c r="Q22" i="7"/>
  <c r="Q43" i="6"/>
  <c r="N8" i="3"/>
  <c r="N12" i="3"/>
  <c r="N19" i="3"/>
  <c r="P20" i="4"/>
  <c r="P22" i="7"/>
  <c r="R46" i="3"/>
  <c r="Q51" i="3"/>
  <c r="O47" i="12"/>
  <c r="P9" i="11"/>
  <c r="P16" i="10"/>
  <c r="H37" i="14"/>
  <c r="H38" i="14"/>
  <c r="P46" i="3"/>
  <c r="O37" i="7"/>
  <c r="O23" i="6"/>
  <c r="Q30" i="3"/>
  <c r="R16" i="10"/>
  <c r="R17" i="10"/>
  <c r="R8" i="11"/>
  <c r="O8" i="12"/>
  <c r="N45" i="12"/>
  <c r="L6" i="12"/>
  <c r="L15" i="12"/>
  <c r="L19" i="12"/>
  <c r="O42" i="6"/>
  <c r="O25" i="3"/>
  <c r="O28" i="3"/>
  <c r="O35" i="3"/>
  <c r="O39" i="7"/>
  <c r="O24" i="6"/>
  <c r="N11" i="11"/>
  <c r="N13" i="11"/>
  <c r="O6" i="12"/>
  <c r="N8" i="11"/>
  <c r="N9" i="11"/>
  <c r="O11" i="11"/>
  <c r="O13" i="11"/>
  <c r="R27" i="7"/>
  <c r="R10" i="7"/>
  <c r="N16" i="10"/>
  <c r="N17" i="10"/>
  <c r="N21" i="4"/>
  <c r="N14" i="10"/>
  <c r="P19" i="3"/>
  <c r="Q16" i="10"/>
  <c r="Q17" i="10"/>
  <c r="R11" i="10"/>
  <c r="R45" i="3"/>
  <c r="R31" i="10"/>
  <c r="R30" i="10"/>
  <c r="R9" i="10"/>
  <c r="R43" i="6"/>
  <c r="O45" i="12"/>
  <c r="R51" i="6"/>
  <c r="R18" i="7"/>
  <c r="R42" i="7"/>
  <c r="R36" i="7"/>
  <c r="R22" i="6"/>
  <c r="N28" i="3"/>
  <c r="N35" i="3"/>
  <c r="Q7" i="10"/>
  <c r="O10" i="3"/>
  <c r="R37" i="7"/>
  <c r="R23" i="6"/>
  <c r="N42" i="6"/>
  <c r="Q13" i="7"/>
  <c r="Q20" i="7"/>
  <c r="R22" i="7"/>
  <c r="Q31" i="10"/>
  <c r="Q30" i="10"/>
  <c r="Q9" i="10"/>
  <c r="P24" i="7"/>
  <c r="P15" i="7"/>
  <c r="Q39" i="7"/>
  <c r="Q24" i="6"/>
  <c r="O6" i="11"/>
  <c r="O9" i="11"/>
  <c r="P11" i="11"/>
  <c r="P13" i="11"/>
  <c r="P46" i="6"/>
  <c r="Q27" i="7"/>
  <c r="Q10" i="7"/>
  <c r="R35" i="3"/>
  <c r="R48" i="3"/>
  <c r="P42" i="6"/>
  <c r="P21" i="4"/>
  <c r="P14" i="10"/>
  <c r="O18" i="12"/>
  <c r="O20" i="12"/>
  <c r="R30" i="3"/>
  <c r="K12" i="12"/>
  <c r="Q6" i="11"/>
  <c r="Q9" i="11"/>
  <c r="N39" i="7"/>
  <c r="N24" i="6"/>
  <c r="R8" i="3"/>
  <c r="R12" i="3"/>
  <c r="R19" i="3"/>
  <c r="O8" i="3"/>
  <c r="O12" i="3"/>
  <c r="R21" i="4"/>
  <c r="R14" i="10"/>
  <c r="O49" i="6"/>
  <c r="O52" i="6"/>
  <c r="R6" i="10"/>
  <c r="R6" i="11"/>
  <c r="R9" i="11"/>
  <c r="Q21" i="4"/>
  <c r="Q14" i="10"/>
  <c r="Q6" i="10"/>
  <c r="Q11" i="10"/>
  <c r="Q45" i="3"/>
  <c r="Q47" i="3"/>
  <c r="Q51" i="6"/>
  <c r="N10" i="12"/>
  <c r="Q8" i="3"/>
  <c r="Q12" i="3"/>
  <c r="Q19" i="3"/>
  <c r="R25" i="3"/>
  <c r="R28" i="3"/>
  <c r="P45" i="3"/>
  <c r="P47" i="3"/>
  <c r="Q46" i="3"/>
  <c r="O7" i="6"/>
  <c r="O26" i="6"/>
  <c r="O37" i="6"/>
  <c r="M6" i="12"/>
  <c r="M15" i="12"/>
  <c r="M19" i="12"/>
  <c r="P27" i="7"/>
  <c r="P10" i="7"/>
  <c r="P37" i="7"/>
  <c r="P23" i="6"/>
  <c r="N30" i="10"/>
  <c r="N9" i="10"/>
  <c r="N43" i="6"/>
  <c r="K8" i="12"/>
  <c r="P39" i="7"/>
  <c r="P24" i="6"/>
  <c r="P31" i="10"/>
  <c r="P30" i="10"/>
  <c r="P9" i="10"/>
  <c r="P43" i="6"/>
  <c r="M8" i="12"/>
  <c r="O27" i="7"/>
  <c r="O10" i="7"/>
  <c r="O13" i="7"/>
  <c r="O20" i="7"/>
  <c r="H18" i="14"/>
  <c r="M27" i="7"/>
  <c r="N27" i="7"/>
  <c r="N10" i="7"/>
  <c r="N9" i="3"/>
  <c r="H13" i="14"/>
  <c r="Q28" i="7"/>
  <c r="Q11" i="7"/>
  <c r="Q24" i="7"/>
  <c r="Q15" i="7"/>
  <c r="Q25" i="3"/>
  <c r="Q28" i="3"/>
  <c r="O28" i="7"/>
  <c r="O11" i="7"/>
  <c r="O24" i="7"/>
  <c r="O15" i="7"/>
  <c r="O21" i="4"/>
  <c r="O14" i="10"/>
  <c r="O16" i="10"/>
  <c r="O17" i="10"/>
  <c r="P49" i="6"/>
  <c r="P52" i="6"/>
  <c r="P8" i="3"/>
  <c r="P12" i="3"/>
  <c r="P17" i="4"/>
  <c r="P19" i="4"/>
  <c r="P7" i="6"/>
  <c r="P26" i="6"/>
  <c r="P37" i="6"/>
  <c r="M33" i="12"/>
  <c r="M35" i="12"/>
  <c r="M42" i="12"/>
  <c r="P13" i="4"/>
  <c r="P15" i="4"/>
  <c r="Q49" i="6"/>
  <c r="Q52" i="6"/>
  <c r="N24" i="7"/>
  <c r="N15" i="7"/>
  <c r="N25" i="3"/>
  <c r="H15" i="14"/>
  <c r="H20" i="14"/>
  <c r="N49" i="6"/>
  <c r="N52" i="6"/>
  <c r="O45" i="3"/>
  <c r="O47" i="3"/>
  <c r="R28" i="7"/>
  <c r="R11" i="7"/>
  <c r="R24" i="7"/>
  <c r="R15" i="7"/>
  <c r="N45" i="3"/>
  <c r="N47" i="3"/>
  <c r="P11" i="10"/>
  <c r="N31" i="10"/>
  <c r="N7" i="10"/>
  <c r="N11" i="10"/>
  <c r="O6" i="10"/>
  <c r="O11" i="10"/>
  <c r="P6" i="10"/>
  <c r="P6" i="11"/>
  <c r="R17" i="4"/>
  <c r="R19" i="4"/>
  <c r="R7" i="6"/>
  <c r="R26" i="6"/>
  <c r="R37" i="6"/>
  <c r="R49" i="6"/>
  <c r="R52" i="6"/>
  <c r="L33" i="12"/>
  <c r="L35" i="12"/>
  <c r="L42" i="12"/>
  <c r="O13" i="4"/>
  <c r="O15" i="4"/>
  <c r="O17" i="4"/>
  <c r="O19" i="4"/>
  <c r="O31" i="10"/>
  <c r="O30" i="10"/>
  <c r="O9" i="10"/>
  <c r="Q42" i="6"/>
  <c r="Q46" i="6"/>
  <c r="N33" i="12"/>
  <c r="N35" i="12"/>
  <c r="N42" i="12"/>
  <c r="Q13" i="4"/>
  <c r="Q15" i="4"/>
  <c r="Q17" i="4"/>
  <c r="Q19" i="4"/>
  <c r="Q7" i="6"/>
  <c r="Q26" i="6"/>
  <c r="Q37" i="6"/>
  <c r="N6" i="12"/>
  <c r="N15" i="12"/>
  <c r="N19" i="12"/>
  <c r="N28" i="7"/>
  <c r="N11" i="7"/>
  <c r="N10" i="3"/>
  <c r="H14" i="14"/>
  <c r="H19" i="14"/>
  <c r="M28" i="7"/>
  <c r="P28" i="7"/>
  <c r="P11" i="7"/>
  <c r="K33" i="12"/>
  <c r="K35" i="12"/>
  <c r="K42" i="12"/>
  <c r="N13" i="4"/>
  <c r="N15" i="4"/>
  <c r="N17" i="4"/>
  <c r="N19" i="4"/>
  <c r="N7" i="6"/>
  <c r="N26" i="6"/>
  <c r="N37" i="6"/>
  <c r="K6" i="12"/>
  <c r="K15" i="12"/>
  <c r="K19" i="12"/>
  <c r="K20" i="12"/>
  <c r="L18" i="12"/>
  <c r="L20" i="12"/>
  <c r="M18" i="12"/>
  <c r="M20" i="12"/>
  <c r="N18" i="12"/>
  <c r="N20" i="12"/>
  <c r="O33" i="12"/>
  <c r="O35" i="12"/>
  <c r="O42" i="12"/>
  <c r="R13" i="4"/>
  <c r="R15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tc={4EC0F7EB-AD17-4E9A-BF81-5F50C78F63D0}</author>
  </authors>
  <commentList>
    <comment ref="S69" authorId="0" shapeId="0" xr:uid="{4EC0F7EB-AD17-4E9A-BF81-5F50C78F63D0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Assumptions based
https://www.forbes.com/sites/greatspeculations/2018/09/20/how-is-colgate-palmolive-likely-to-grow-in-the-next-two-years/#4ebfc91755d9
https://www.nasdaq.com/article/can-colgates-cl-growth-strategies-help-regain-momentum-cm983570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tc={7B04E9EA-1C77-4342-B9F2-9E650DD7B740}</author>
  </authors>
  <commentList>
    <comment ref="N15" authorId="0" shapeId="0" xr:uid="{7B04E9EA-1C77-4342-B9F2-9E650DD7B740}">
      <text>
        <t>[Threaded comment]
Your version of Excel allows you to read this threaded comment; however, any edits to it will get removed if the file is opened in a newer version of Excel. Learn more: https://go.microsoft.com/fwlink/?linkid=870924
Comment:
    Keep constant as prev year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tc={CB6034DD-90F8-4502-9F45-A44245B89995}</author>
    <author>tc={EEF5322F-C117-45D7-B5E2-A2848B730C39}</author>
  </authors>
  <commentList>
    <comment ref="M17" authorId="0" shapeId="0" xr:uid="{CB6034DD-90F8-4502-9F45-A44245B89995}">
      <text>
        <t>[Threaded comment]
Your version of Excel allows you to read this threaded comment; however, any edits to it will get removed if the file is opened in a newer version of Excel. Learn more: https://go.microsoft.com/fwlink/?linkid=870924
Comment:
    Taken from 10K - Break up pf PPE provided on pg 127</t>
      </text>
    </comment>
    <comment ref="N38" authorId="1" shapeId="0" xr:uid="{EEF5322F-C117-45D7-B5E2-A2848B730C39}">
      <text>
        <t>[Threaded comment]
Your version of Excel allows you to read this threaded comment; however, any edits to it will get removed if the file is opened in a newer version of Excel. Learn more: https://go.microsoft.com/fwlink/?linkid=870924
Comment:
    mid year convention for asset deployment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tc={DADF4DB4-F741-48F8-89C0-097DBD80EE40}</author>
  </authors>
  <commentList>
    <comment ref="M14" authorId="0" shapeId="0" xr:uid="{DADF4DB4-F741-48F8-89C0-097DBD80EE40}">
      <text>
        <t>[Threaded comment]
Your version of Excel allows you to read this threaded comment; however, any edits to it will get removed if the file is opened in a newer version of Excel. Learn more: https://go.microsoft.com/fwlink/?linkid=870924
Comment:
    Pg 98 - 10 K report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Jayesh Bali</author>
  </authors>
  <commentList>
    <comment ref="R15" authorId="0" shapeId="0" xr:uid="{1C9E44F7-3CF4-43EE-AED1-227658B5223F}">
      <text>
        <r>
          <rPr>
            <b/>
            <sz val="9"/>
            <color indexed="81"/>
            <rFont val="Tahoma"/>
            <family val="2"/>
          </rPr>
          <t>Jayesh Bali:</t>
        </r>
        <r>
          <rPr>
            <sz val="9"/>
            <color indexed="81"/>
            <rFont val="Tahoma"/>
            <family val="2"/>
          </rPr>
          <t xml:space="preserve">
Assumption based on industry ratios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Jayesh Bali</author>
  </authors>
  <commentList>
    <comment ref="O11" authorId="0" shapeId="0" xr:uid="{C5EE3BC0-EFE4-4DBC-9167-88970D6A5B25}">
      <text>
        <r>
          <rPr>
            <b/>
            <sz val="9"/>
            <color indexed="81"/>
            <rFont val="Tahoma"/>
            <family val="2"/>
          </rPr>
          <t>Jayesh Bali:</t>
        </r>
        <r>
          <rPr>
            <sz val="9"/>
            <color indexed="81"/>
            <rFont val="Tahoma"/>
            <family val="2"/>
          </rPr>
          <t xml:space="preserve">
Assumption that min of 500 mil balance would always be needed</t>
        </r>
      </text>
    </comment>
    <comment ref="P25" authorId="0" shapeId="0" xr:uid="{6531C7E6-B0C1-4BB1-9AEA-89C9848553A8}">
      <text>
        <r>
          <rPr>
            <b/>
            <sz val="9"/>
            <color indexed="81"/>
            <rFont val="Tahoma"/>
            <family val="2"/>
          </rPr>
          <t>Jayesh Bali:</t>
        </r>
        <r>
          <rPr>
            <sz val="9"/>
            <color indexed="81"/>
            <rFont val="Tahoma"/>
            <family val="2"/>
          </rPr>
          <t xml:space="preserve">
Taken from the 10K. Debt repayment schedule Pg 61</t>
        </r>
      </text>
    </comment>
    <comment ref="P40" authorId="0" shapeId="0" xr:uid="{CCBE69B1-AC9A-4DDF-AD3B-F66448A5F34B}">
      <text>
        <r>
          <rPr>
            <b/>
            <sz val="9"/>
            <color indexed="81"/>
            <rFont val="Tahoma"/>
            <family val="2"/>
          </rPr>
          <t>Jayesh Bali:</t>
        </r>
        <r>
          <rPr>
            <sz val="9"/>
            <color indexed="81"/>
            <rFont val="Tahoma"/>
            <family val="2"/>
          </rPr>
          <t xml:space="preserve">
From 10 K , debt repayment schedule
</t>
        </r>
      </text>
    </comment>
  </commentList>
</comments>
</file>

<file path=xl/sharedStrings.xml><?xml version="1.0" encoding="utf-8"?>
<sst xmlns="http://schemas.openxmlformats.org/spreadsheetml/2006/main" count="409" uniqueCount="297">
  <si>
    <t>Colgate-Palmolive Company</t>
  </si>
  <si>
    <t>Net sales</t>
  </si>
  <si>
    <t>Cost of sales</t>
  </si>
  <si>
    <t xml:space="preserve">  Gross profit</t>
  </si>
  <si>
    <t>Selling, general and administrative expenses</t>
  </si>
  <si>
    <t>Other (income) expense, net</t>
  </si>
  <si>
    <t xml:space="preserve">  Operating profit</t>
  </si>
  <si>
    <t xml:space="preserve">Interest expense, net </t>
  </si>
  <si>
    <t>Income before income taxes</t>
  </si>
  <si>
    <t>Provision for income taxes</t>
  </si>
  <si>
    <t xml:space="preserve">  Net income including noncontrolling interests</t>
  </si>
  <si>
    <t>Less: Net income attributable to noncontrolling interests</t>
  </si>
  <si>
    <t xml:space="preserve">  Net income attributable to Colgate-Palmolive Company</t>
  </si>
  <si>
    <t>Earnings per common share, basic</t>
  </si>
  <si>
    <t>Earnings per common share, diluted</t>
  </si>
  <si>
    <t xml:space="preserve"> </t>
  </si>
  <si>
    <t>Income Statement (Consolidated)</t>
  </si>
  <si>
    <t>($ in Million Except Per Share Amounts)</t>
  </si>
  <si>
    <t>Vertical Analysis</t>
  </si>
  <si>
    <t>Horizontal Analysis</t>
  </si>
  <si>
    <t>Consolidated Balance Sheets</t>
  </si>
  <si>
    <t>Assets</t>
  </si>
  <si>
    <t>Current Assets</t>
  </si>
  <si>
    <t xml:space="preserve">  Cash and cash equivalents</t>
  </si>
  <si>
    <t xml:space="preserve">  Receivables (net of allowances of $49, $53, $52, $47 and $51 respectively)</t>
  </si>
  <si>
    <t xml:space="preserve">  Inventories</t>
  </si>
  <si>
    <t xml:space="preserve">  Other current assets</t>
  </si>
  <si>
    <t xml:space="preserve">    Total current assets</t>
  </si>
  <si>
    <t>Property, plant and equipment, net</t>
  </si>
  <si>
    <t>Goodwill, net</t>
  </si>
  <si>
    <t>Other intangible assets, net</t>
  </si>
  <si>
    <t>Deferred income taxes</t>
  </si>
  <si>
    <t>Other assets</t>
  </si>
  <si>
    <t>Total assets</t>
  </si>
  <si>
    <t>Liabilities and Shareholders' Equity</t>
  </si>
  <si>
    <t>Current Liabilities</t>
  </si>
  <si>
    <t xml:space="preserve">  Notes and loans payable </t>
  </si>
  <si>
    <t xml:space="preserve">  Current portion of long-term debt</t>
  </si>
  <si>
    <t xml:space="preserve">  Accounts payable</t>
  </si>
  <si>
    <t xml:space="preserve">  Accrued income taxes</t>
  </si>
  <si>
    <t xml:space="preserve">  Other accruals</t>
  </si>
  <si>
    <t xml:space="preserve">    Total current liabilities</t>
  </si>
  <si>
    <t>Long-term debt</t>
  </si>
  <si>
    <t>Other liabilities</t>
  </si>
  <si>
    <t>Total liabilities</t>
  </si>
  <si>
    <t>Commitments and contingent liabilities</t>
  </si>
  <si>
    <t>Shareholders' Equity</t>
  </si>
  <si>
    <t xml:space="preserve">  Preference stock</t>
  </si>
  <si>
    <t xml:space="preserve">  Common stock</t>
  </si>
  <si>
    <t xml:space="preserve">  Additional paid-in capital</t>
  </si>
  <si>
    <t xml:space="preserve">  Retained earnings</t>
  </si>
  <si>
    <t xml:space="preserve">  Accumulated other comprehensive income (loss)</t>
  </si>
  <si>
    <t xml:space="preserve">  Unearned compensation</t>
  </si>
  <si>
    <t xml:space="preserve">  Treasury stock, at cost</t>
  </si>
  <si>
    <t>Total Colgate-Palmolive Company shareholders' equity</t>
  </si>
  <si>
    <t xml:space="preserve">  Noncontrolling interests</t>
  </si>
  <si>
    <t xml:space="preserve">  Total shareholders' equity</t>
  </si>
  <si>
    <t>Total liabilities and shareholders' equity</t>
  </si>
  <si>
    <t>-</t>
  </si>
  <si>
    <t>Operating Activities</t>
  </si>
  <si>
    <t>Net income including noncontrolling interests</t>
  </si>
  <si>
    <t>to net cash provided by operations:</t>
  </si>
  <si>
    <t>Depreciation and amortization</t>
  </si>
  <si>
    <t>Restructuring and termination benefits, net of cash</t>
  </si>
  <si>
    <t>Venezuela hyperinflationary transition charge</t>
  </si>
  <si>
    <t>Gain before tax on sales of non-core product lines</t>
  </si>
  <si>
    <t>Voluntary benefit plan contributions</t>
  </si>
  <si>
    <t>Stock-based compensation expense</t>
  </si>
  <si>
    <t xml:space="preserve">Cash effects of changes in: </t>
  </si>
  <si>
    <t>Receivables</t>
  </si>
  <si>
    <t>Inventories</t>
  </si>
  <si>
    <t>Accounts payable and other accruals</t>
  </si>
  <si>
    <t>Other non-current assets and liabilities</t>
  </si>
  <si>
    <t>Net cash provided by operations</t>
  </si>
  <si>
    <t>Investing Activities</t>
  </si>
  <si>
    <t xml:space="preserve">  </t>
  </si>
  <si>
    <t>Capital expenditures</t>
  </si>
  <si>
    <t>Sale of property and non-core product lines</t>
  </si>
  <si>
    <t>Purchases of marketable securities and investments</t>
  </si>
  <si>
    <t>Proceeds from sale of marketable securities and investments</t>
  </si>
  <si>
    <t>Payment for acquisitions, net of cash acquired</t>
  </si>
  <si>
    <t>Other</t>
  </si>
  <si>
    <t>Net cash used in investing activities</t>
  </si>
  <si>
    <t>Financing Activities</t>
  </si>
  <si>
    <t>Principal payments on debt</t>
  </si>
  <si>
    <t>Proceeds from issuance of debt</t>
  </si>
  <si>
    <t>Dividends paid</t>
  </si>
  <si>
    <t>Purchases of treasury shares</t>
  </si>
  <si>
    <t>Proceeds from exercise of stock options and excess tax benefits</t>
  </si>
  <si>
    <t>Net cash used in financing activities</t>
  </si>
  <si>
    <t>Effect of exchange rate changes on Cash and cash equivalents</t>
  </si>
  <si>
    <t>Net increase (decrease) in Cash and cash equivalents</t>
  </si>
  <si>
    <t>Cash and cash equivalents at beginning of year</t>
  </si>
  <si>
    <t>Cash and cash equivalents at end of year</t>
  </si>
  <si>
    <t>Supplemental Cash Flow Information</t>
  </si>
  <si>
    <t>Income taxes paid</t>
  </si>
  <si>
    <t>Interest paid</t>
  </si>
  <si>
    <t>Consolidated Cash Flows</t>
  </si>
  <si>
    <t>Net Sales</t>
  </si>
  <si>
    <t>Number of days assumption</t>
  </si>
  <si>
    <t>Working Capital Balances</t>
  </si>
  <si>
    <t>Total Non Cash Current Assets</t>
  </si>
  <si>
    <t>Total Non-Debt Current Liabilities</t>
  </si>
  <si>
    <t>Net Working Capital/ (Deficit)</t>
  </si>
  <si>
    <t>(Increase)/ Decrease in Working Capital</t>
  </si>
  <si>
    <t>Ratios &amp; Assumptions</t>
  </si>
  <si>
    <t>Accounts Receivable, net (Collection period in days)</t>
  </si>
  <si>
    <t>Inventory (Days outstanding)</t>
  </si>
  <si>
    <t>Other Current Assets (% of Net Sales)</t>
  </si>
  <si>
    <t>Accounts Payable (Days Payable)</t>
  </si>
  <si>
    <t>Cash Flow from Individual line items</t>
  </si>
  <si>
    <t>(Incease)/ Decrease in Working Capital</t>
  </si>
  <si>
    <t>Check</t>
  </si>
  <si>
    <t>Capital Expenditures</t>
  </si>
  <si>
    <t>Capital Expenditures as % of Net Sales</t>
  </si>
  <si>
    <t>Beginning Net PP&amp;E</t>
  </si>
  <si>
    <t>(Depreciation Expense)</t>
  </si>
  <si>
    <t>Ending Net PP&amp;E</t>
  </si>
  <si>
    <t xml:space="preserve">Land </t>
  </si>
  <si>
    <t>Building Improvements</t>
  </si>
  <si>
    <t>Machinery and equipment</t>
  </si>
  <si>
    <t>Total</t>
  </si>
  <si>
    <t>Total Capex</t>
  </si>
  <si>
    <t>Breakup</t>
  </si>
  <si>
    <t>Building Improvements - Straight Line Method</t>
  </si>
  <si>
    <t>Useful Life</t>
  </si>
  <si>
    <t>Building Improvement</t>
  </si>
  <si>
    <t>Depreciation Expense (existing)</t>
  </si>
  <si>
    <t>Depreciation (Building Improvements)</t>
  </si>
  <si>
    <t>Machinery &amp; Equipments</t>
  </si>
  <si>
    <t>Total Depreciation (Machinery &amp; Equipments)</t>
  </si>
  <si>
    <t>Total Depreciation Expense</t>
  </si>
  <si>
    <t>Additions to Intangibles</t>
  </si>
  <si>
    <t>Additions to Intangibles as % of Net Sales</t>
  </si>
  <si>
    <t>Beginning Net Intangibles</t>
  </si>
  <si>
    <t>(Amortization Expense)</t>
  </si>
  <si>
    <t>(Intangible Sales and write offs)</t>
  </si>
  <si>
    <t>Ending Net Intangibles</t>
  </si>
  <si>
    <t>Beginning Equity Balance</t>
  </si>
  <si>
    <t>Net Income</t>
  </si>
  <si>
    <t>Issuance/ (Repurchase) of Equity</t>
  </si>
  <si>
    <t>Dividends Paid</t>
  </si>
  <si>
    <t>Option Proceeds</t>
  </si>
  <si>
    <t>Ending Equity Balance</t>
  </si>
  <si>
    <t>Share Repurchase Assumptions</t>
  </si>
  <si>
    <t>Current Year EPS</t>
  </si>
  <si>
    <t>Assumed Current Year EPS Multiple</t>
  </si>
  <si>
    <t>Shares Repurchased - millions</t>
  </si>
  <si>
    <t>Amount Repurchased ( $ outgo)</t>
  </si>
  <si>
    <t>New Shares from Exercised Options</t>
  </si>
  <si>
    <t>New Shares from Exercised Options - millions</t>
  </si>
  <si>
    <t>Average Strike Price</t>
  </si>
  <si>
    <t>Dividend Assumptions</t>
  </si>
  <si>
    <t>Total Dividends Paid</t>
  </si>
  <si>
    <t>Dividend Payout Ratio</t>
  </si>
  <si>
    <t>`</t>
  </si>
  <si>
    <t>Beginning Balance - Basic (actual)</t>
  </si>
  <si>
    <t>Shares Repurchased</t>
  </si>
  <si>
    <t>Ending Balance - Basic (actual)</t>
  </si>
  <si>
    <t>Basic Weighted Average Shares</t>
  </si>
  <si>
    <t>Diluted Weighted Average Shares</t>
  </si>
  <si>
    <t>Debt Schedule</t>
  </si>
  <si>
    <t>Cash Flow Available for Financing Activities</t>
  </si>
  <si>
    <t>Proceeds from/ (Repurchase of) Equity</t>
  </si>
  <si>
    <t>Dividends</t>
  </si>
  <si>
    <t>+ Beginning Cash Balance</t>
  </si>
  <si>
    <t>- Minimum Cash Balance</t>
  </si>
  <si>
    <t>Cash Available for Debt Repayment</t>
  </si>
  <si>
    <t>Long Term Debt Issuance</t>
  </si>
  <si>
    <t>Long Term Debt (Repayments)</t>
  </si>
  <si>
    <t>Cash Available for Revolving Credit Facility</t>
  </si>
  <si>
    <t>Revolving Credit Facility</t>
  </si>
  <si>
    <t>Beginning Balance</t>
  </si>
  <si>
    <t>Discretionary (Paydown)/ Borrowings</t>
  </si>
  <si>
    <t>Ending Balance</t>
  </si>
  <si>
    <t>Long Term Debt</t>
  </si>
  <si>
    <t>Issuance</t>
  </si>
  <si>
    <t>(Repayment/ Amortization)</t>
  </si>
  <si>
    <t>Average Balance</t>
  </si>
  <si>
    <t>Interest Rate</t>
  </si>
  <si>
    <t>Interest Expense</t>
  </si>
  <si>
    <t>Total Interest Expense</t>
  </si>
  <si>
    <t>Cash Balances</t>
  </si>
  <si>
    <t>Interest Income</t>
  </si>
  <si>
    <t xml:space="preserve">Cost of Sales </t>
  </si>
  <si>
    <t>Purchases</t>
  </si>
  <si>
    <t>Accrued Income Taxes (% of COGS)</t>
  </si>
  <si>
    <t>Other accruals (% of COGS)</t>
  </si>
  <si>
    <t>Other Equipment</t>
  </si>
  <si>
    <t>Segmental Information</t>
  </si>
  <si>
    <t>Consolidated Working Capital</t>
  </si>
  <si>
    <t>Consolidated Depreciation and Capex</t>
  </si>
  <si>
    <t>Consolidated Amortization &amp; Intangible</t>
  </si>
  <si>
    <t>Consolidated Shareholder's Equity</t>
  </si>
  <si>
    <t>Consolidated Shares Outstanding</t>
  </si>
  <si>
    <t>Oral, Personal and Home Care</t>
  </si>
  <si>
    <t>Latin America</t>
  </si>
  <si>
    <t>Europe/South Pacific</t>
  </si>
  <si>
    <t>Asia</t>
  </si>
  <si>
    <t>Africa/Eurasia</t>
  </si>
  <si>
    <t>Total Oral, Personal and Home Care</t>
  </si>
  <si>
    <t>Total Net sales</t>
  </si>
  <si>
    <t>Pet Nutrition</t>
  </si>
  <si>
    <t>North America</t>
  </si>
  <si>
    <t>% growth (yoy)</t>
  </si>
  <si>
    <t>EBIT</t>
  </si>
  <si>
    <t>EBT</t>
  </si>
  <si>
    <t>Effective Tax Rates</t>
  </si>
  <si>
    <t>Less: Net income attributable to noncontrolling interests (% of Net Income)</t>
  </si>
  <si>
    <t>Total Depreciation (Other Equipment)</t>
  </si>
  <si>
    <t>Cash Flow for Financing Activities</t>
  </si>
  <si>
    <t>Current Portion of Long Term Debt</t>
  </si>
  <si>
    <t>Revolver</t>
  </si>
  <si>
    <t>Shares and ESOPs</t>
  </si>
  <si>
    <t/>
  </si>
  <si>
    <t>Common Stock</t>
  </si>
  <si>
    <t>Outstanding</t>
  </si>
  <si>
    <t>Treasury Stock</t>
  </si>
  <si>
    <t>Balance, January 1, 2011</t>
  </si>
  <si>
    <t>Common stock acquired</t>
  </si>
  <si>
    <t>Shares issued for stock options</t>
  </si>
  <si>
    <t>Shares issued for restricted stock units and other</t>
  </si>
  <si>
    <t>Balance, December 31, 2011</t>
  </si>
  <si>
    <t>Balance, December 31, 2012</t>
  </si>
  <si>
    <t>Balance, December 31, 2013</t>
  </si>
  <si>
    <t>Restricted Stock Units  (RSUs)</t>
  </si>
  <si>
    <t>Effects of Options &amp; Restricted Stock Units</t>
  </si>
  <si>
    <t>Shares Issued (actual realization of options)</t>
  </si>
  <si>
    <t>EBITDA</t>
  </si>
  <si>
    <t>Modeling Revenues and Costs</t>
  </si>
  <si>
    <t xml:space="preserve">  Receivables </t>
  </si>
  <si>
    <t xml:space="preserve">  Receivables</t>
  </si>
  <si>
    <t xml:space="preserve">Adjustments to reconcile net income </t>
  </si>
  <si>
    <t>Other Long Term Asset Liability Schedule</t>
  </si>
  <si>
    <t>Liability</t>
  </si>
  <si>
    <t>Implied Share Price</t>
  </si>
  <si>
    <t>Table of Contents</t>
  </si>
  <si>
    <t>Income Statements</t>
  </si>
  <si>
    <t>Balance Sheet</t>
  </si>
  <si>
    <t>Cash Flows</t>
  </si>
  <si>
    <t>Depreciation Schedule</t>
  </si>
  <si>
    <t>Amortization Schedule</t>
  </si>
  <si>
    <t>Working Capital Schedule</t>
  </si>
  <si>
    <t>Other Long Term Schedule</t>
  </si>
  <si>
    <t>Shareholder's Equity Schedule</t>
  </si>
  <si>
    <t>Shares Outstanding Schedule</t>
  </si>
  <si>
    <t>Financial ratios</t>
  </si>
  <si>
    <t>Solvency Ratios</t>
  </si>
  <si>
    <t>Current ratio</t>
  </si>
  <si>
    <t>Quick ratio</t>
  </si>
  <si>
    <t>Cash ratio</t>
  </si>
  <si>
    <t>Turnover Ratios</t>
  </si>
  <si>
    <t>Recievables Turnover</t>
  </si>
  <si>
    <t>Inventory Turnover</t>
  </si>
  <si>
    <t>Payables Turnover</t>
  </si>
  <si>
    <t>Days</t>
  </si>
  <si>
    <t>Average receviables collection period</t>
  </si>
  <si>
    <t>Average inventory processing period</t>
  </si>
  <si>
    <t>Average payment period</t>
  </si>
  <si>
    <t>Cash Collection Cycle</t>
  </si>
  <si>
    <t>Liquidity Ratios</t>
  </si>
  <si>
    <t>Operating Profitability Ratios</t>
  </si>
  <si>
    <t>Operating Efficiency</t>
  </si>
  <si>
    <t>Asset turnover</t>
  </si>
  <si>
    <t>Operating profitability</t>
  </si>
  <si>
    <t>Gross Profit Margin</t>
  </si>
  <si>
    <t>Operating Profit Margin</t>
  </si>
  <si>
    <t>Net Profit Margin</t>
  </si>
  <si>
    <t>ROE DuPoint Analysis</t>
  </si>
  <si>
    <t>Profit Margin</t>
  </si>
  <si>
    <t>Asset Turnover</t>
  </si>
  <si>
    <t>Financial Leverage</t>
  </si>
  <si>
    <t>ROE</t>
  </si>
  <si>
    <t>Financial Risk Ratios</t>
  </si>
  <si>
    <t>Debt to equity ratios</t>
  </si>
  <si>
    <t>Debt ratio</t>
  </si>
  <si>
    <t>Interest coverage ratio</t>
  </si>
  <si>
    <t>The firm has high ability to pay off it's short term obligations with its short term assets</t>
  </si>
  <si>
    <t>Acid test - how well the company is positioned to pay off its short term liabilities using current assets (excl inventory)</t>
  </si>
  <si>
    <t>Firms ability to pay off its short term obligations just using cash has been increasing. It seems to be worried about future profitibility and is keeping a protective capital cushion</t>
  </si>
  <si>
    <t>Comments</t>
  </si>
  <si>
    <t>It is in the ballpark of the industry. The industry average is around 6.6 (Ref - https://csimarket.com/screening/index.php?s=it&amp;pageS=1&amp;fis=)</t>
  </si>
  <si>
    <r>
      <t xml:space="preserve">Again in the industry ballpark of 1.3 (Ref - </t>
    </r>
    <r>
      <rPr>
        <b/>
        <sz val="11"/>
        <color theme="1"/>
        <rFont val="Arial"/>
        <family val="2"/>
      </rPr>
      <t>https://csimarket.com/screening/index.php?s=at)</t>
    </r>
  </si>
  <si>
    <t>The firm is deprived of capital on an average of 35-40 days</t>
  </si>
  <si>
    <t xml:space="preserve">Financial Model - Colgate Palmolive </t>
  </si>
  <si>
    <t>Jayesh Bali</t>
  </si>
  <si>
    <t>Financial Ratios</t>
  </si>
  <si>
    <t>Gain on sale of South Pacific laundry detergent business</t>
  </si>
  <si>
    <t>Gain on sale of land in Mexico</t>
  </si>
  <si>
    <t>Charge for Venezuela accounting change</t>
  </si>
  <si>
    <t>Charge for a foreign tax matter</t>
  </si>
  <si>
    <t>PPE (Break-up for 2017)</t>
  </si>
  <si>
    <t>Remaining useful l ife</t>
  </si>
  <si>
    <t>Proportion of Assets</t>
  </si>
  <si>
    <t>Capex</t>
  </si>
  <si>
    <t>years</t>
  </si>
  <si>
    <t>Useful Life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</si>
</sst>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4" formatCode="_ &quot;Rs.&quot;\ * #,##0.00_ ;_ &quot;Rs.&quot;\ * \-#,##0.00_ ;_ &quot;Rs.&quot;\ * &quot;-&quot;??_ ;_ @_ "/>
    <numFmt numFmtId="43" formatCode="_ * #,##0.00_ ;_ * \-#,##0.00_ ;_ * &quot;-&quot;??_ ;_ @_ "/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* #,##0_);_(* \(#,##0\);_(* &quot;-&quot;??_);_(@_)"/>
    <numFmt numFmtId="169" formatCode="[$-409]mmm\-yy;@"/>
    <numFmt numFmtId="170" formatCode="_(* #,##0.0_);_(* \(#,##0.0\);_(* &quot;-&quot;??_);_(@_)"/>
    <numFmt numFmtId="171" formatCode="0.0%"/>
    <numFmt numFmtId="172" formatCode="_(&quot;$&quot;* #,##0_);_(&quot;$&quot;* \(#,##0\);_(&quot;$&quot;* &quot;-&quot;??_);_(@_)"/>
    <numFmt numFmtId="173" formatCode="#,##0.0_);\(#,##0.0\)"/>
    <numFmt numFmtId="174" formatCode="0.0"/>
    <numFmt numFmtId="175" formatCode="_(* #,##0.0_);_(* \(#,##0.0\);_(* &quot;-&quot;_);_(@_)"/>
    <numFmt numFmtId="176" formatCode="&quot;$&quot;#,##0.0_);\(&quot;$&quot;#,##0.0\)"/>
    <numFmt numFmtId="177" formatCode="0.000"/>
    <numFmt numFmtId="178" formatCode="_(* #,##0.0_);_(* \(#,##0.0\);_(* &quot;-&quot;?_);_(@_)"/>
    <numFmt numFmtId="179" formatCode="#,##0.0"/>
    <numFmt numFmtId="180" formatCode=".0\x"/>
  </numFmts>
  <fonts count="5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6"/>
      <color indexed="10"/>
      <name val="Arial"/>
      <family val="2"/>
    </font>
    <font>
      <sz val="11"/>
      <color rgb="FF0070C0"/>
      <name val="Arial"/>
      <family val="2"/>
    </font>
    <font>
      <b/>
      <sz val="18"/>
      <color theme="4" tint="-0.499984740745262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2"/>
      <color rgb="FF00B0F0"/>
      <name val="Arial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color indexed="8"/>
      <name val="Verdana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u/>
      <sz val="11"/>
      <name val="Arial"/>
      <family val="2"/>
    </font>
    <font>
      <i/>
      <sz val="11"/>
      <name val="Arial"/>
      <family val="2"/>
    </font>
    <font>
      <sz val="11"/>
      <color indexed="48"/>
      <name val="Arial"/>
      <family val="2"/>
    </font>
    <font>
      <sz val="11"/>
      <color indexed="62"/>
      <name val="Arial"/>
      <family val="2"/>
    </font>
    <font>
      <sz val="11"/>
      <color indexed="17"/>
      <name val="Arial"/>
      <family val="2"/>
    </font>
    <font>
      <b/>
      <sz val="11"/>
      <color indexed="8"/>
      <name val="Arial"/>
      <family val="2"/>
    </font>
    <font>
      <sz val="11"/>
      <color indexed="12"/>
      <name val="Arial"/>
      <family val="2"/>
    </font>
    <font>
      <b/>
      <sz val="11"/>
      <color indexed="57"/>
      <name val="Arial"/>
      <family val="2"/>
    </font>
    <font>
      <b/>
      <sz val="11"/>
      <color indexed="17"/>
      <name val="Arial"/>
      <family val="2"/>
    </font>
    <font>
      <sz val="11"/>
      <color indexed="57"/>
      <name val="Arial"/>
      <family val="2"/>
    </font>
    <font>
      <sz val="11"/>
      <color indexed="18"/>
      <name val="Arial"/>
      <family val="2"/>
    </font>
    <font>
      <b/>
      <u/>
      <sz val="11"/>
      <name val="Arial"/>
      <family val="2"/>
    </font>
    <font>
      <sz val="11"/>
      <color rgb="FF00B050"/>
      <name val="Arial"/>
      <family val="2"/>
    </font>
    <font>
      <b/>
      <sz val="11"/>
      <color theme="6" tint="-0.499984740745262"/>
      <name val="Arial"/>
      <family val="2"/>
    </font>
    <font>
      <b/>
      <sz val="11"/>
      <color indexed="12"/>
      <name val="Arial"/>
      <family val="2"/>
    </font>
    <font>
      <b/>
      <u/>
      <sz val="11"/>
      <color rgb="FF00B0F0"/>
      <name val="Arial"/>
      <family val="2"/>
    </font>
    <font>
      <b/>
      <u/>
      <sz val="12"/>
      <color rgb="FF00B0F0"/>
      <name val="Arial"/>
      <family val="2"/>
    </font>
    <font>
      <i/>
      <sz val="10"/>
      <color rgb="FF0070C0"/>
      <name val="Arial"/>
      <family val="2"/>
    </font>
    <font>
      <i/>
      <sz val="11"/>
      <color rgb="FF0070C0"/>
      <name val="Arial"/>
      <family val="2"/>
    </font>
    <font>
      <b/>
      <u/>
      <sz val="11"/>
      <color theme="1"/>
      <name val="Calibri"/>
      <family val="2"/>
      <scheme val="minor"/>
    </font>
    <font>
      <b/>
      <u/>
      <sz val="11"/>
      <color theme="1"/>
      <name val="Arial"/>
      <family val="2"/>
    </font>
    <font>
      <sz val="11"/>
      <color theme="0"/>
      <name val="Calibri"/>
      <family val="2"/>
      <scheme val="minor"/>
    </font>
    <font>
      <sz val="11"/>
      <color theme="6" tint="-0.499984740745262"/>
      <name val="Arial"/>
      <family val="2"/>
    </font>
    <font>
      <i/>
      <sz val="11"/>
      <color theme="1"/>
      <name val="Arial"/>
      <family val="2"/>
    </font>
    <font>
      <i/>
      <sz val="11"/>
      <color indexed="8"/>
      <name val="Arial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00B05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70C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2F2F2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/>
    <xf numFmtId="166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14" fillId="0" borderId="0">
      <alignment vertical="center"/>
      <protection locked="0"/>
    </xf>
    <xf numFmtId="167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44" fillId="0" borderId="0" applyNumberFormat="0" applyFill="0" applyBorder="0" applyAlignment="0" applyProtection="0"/>
    <xf numFmtId="44" fontId="1" fillId="0" borderId="0" applyFont="0" applyFill="0" applyBorder="0" applyAlignment="0" applyProtection="0"/>
    <xf numFmtId="0" fontId="48" fillId="8" borderId="13" applyNumberFormat="0" applyAlignment="0" applyProtection="0"/>
  </cellStyleXfs>
  <cellXfs count="365">
    <xf numFmtId="0" fontId="0" fillId="0" borderId="0" xfId="0"/>
    <xf numFmtId="0" fontId="3" fillId="0" borderId="0" xfId="0" quotePrefix="1" applyFont="1" applyAlignment="1">
      <alignment horizontal="left"/>
    </xf>
    <xf numFmtId="0" fontId="2" fillId="0" borderId="1" xfId="0" applyFont="1" applyBorder="1"/>
    <xf numFmtId="0" fontId="2" fillId="0" borderId="0" xfId="0" applyFont="1" applyFill="1"/>
    <xf numFmtId="0" fontId="2" fillId="0" borderId="0" xfId="0" quotePrefix="1" applyFont="1" applyFill="1" applyBorder="1" applyAlignment="1">
      <alignment horizontal="left"/>
    </xf>
    <xf numFmtId="0" fontId="2" fillId="0" borderId="0" xfId="0" quotePrefix="1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1" xfId="0" applyFont="1" applyFill="1" applyBorder="1"/>
    <xf numFmtId="168" fontId="2" fillId="0" borderId="0" xfId="1" quotePrefix="1" applyNumberFormat="1" applyFont="1" applyFill="1" applyBorder="1" applyAlignment="1">
      <alignment horizontal="left"/>
    </xf>
    <xf numFmtId="168" fontId="2" fillId="0" borderId="0" xfId="1" applyNumberFormat="1" applyFont="1" applyFill="1"/>
    <xf numFmtId="168" fontId="2" fillId="0" borderId="3" xfId="1" applyNumberFormat="1" applyFont="1" applyFill="1" applyBorder="1"/>
    <xf numFmtId="168" fontId="2" fillId="0" borderId="0" xfId="1" applyNumberFormat="1" applyFont="1" applyFill="1" applyBorder="1"/>
    <xf numFmtId="168" fontId="2" fillId="0" borderId="3" xfId="1" quotePrefix="1" applyNumberFormat="1" applyFont="1" applyFill="1" applyBorder="1" applyAlignment="1">
      <alignment horizontal="left"/>
    </xf>
    <xf numFmtId="168" fontId="2" fillId="0" borderId="0" xfId="1" applyNumberFormat="1" applyFont="1" applyFill="1" applyAlignment="1">
      <alignment horizontal="right"/>
    </xf>
    <xf numFmtId="169" fontId="2" fillId="0" borderId="1" xfId="0" applyNumberFormat="1" applyFont="1" applyBorder="1"/>
    <xf numFmtId="168" fontId="2" fillId="0" borderId="4" xfId="1" applyNumberFormat="1" applyFont="1" applyFill="1" applyBorder="1"/>
    <xf numFmtId="168" fontId="2" fillId="0" borderId="1" xfId="1" applyNumberFormat="1" applyFont="1" applyFill="1" applyBorder="1"/>
    <xf numFmtId="168" fontId="4" fillId="0" borderId="0" xfId="1" applyNumberFormat="1" applyFont="1" applyFill="1"/>
    <xf numFmtId="168" fontId="4" fillId="0" borderId="2" xfId="1" applyNumberFormat="1" applyFont="1" applyFill="1" applyBorder="1"/>
    <xf numFmtId="168" fontId="4" fillId="0" borderId="2" xfId="1" applyNumberFormat="1" applyFont="1" applyFill="1" applyBorder="1" applyAlignment="1">
      <alignment horizontal="right"/>
    </xf>
    <xf numFmtId="168" fontId="4" fillId="0" borderId="0" xfId="1" applyNumberFormat="1" applyFont="1" applyFill="1" applyAlignment="1">
      <alignment horizontal="right"/>
    </xf>
    <xf numFmtId="168" fontId="4" fillId="0" borderId="2" xfId="1" applyNumberFormat="1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0" fontId="8" fillId="0" borderId="0" xfId="0" applyFont="1"/>
    <xf numFmtId="0" fontId="8" fillId="0" borderId="0" xfId="0" quotePrefix="1" applyFont="1" applyFill="1" applyAlignment="1">
      <alignment horizontal="left"/>
    </xf>
    <xf numFmtId="171" fontId="2" fillId="0" borderId="0" xfId="2" applyNumberFormat="1" applyFont="1" applyFill="1" applyAlignment="1">
      <alignment horizontal="right"/>
    </xf>
    <xf numFmtId="171" fontId="2" fillId="0" borderId="0" xfId="2" quotePrefix="1" applyNumberFormat="1" applyFont="1" applyFill="1" applyBorder="1" applyAlignment="1">
      <alignment horizontal="right"/>
    </xf>
    <xf numFmtId="171" fontId="2" fillId="0" borderId="3" xfId="2" applyNumberFormat="1" applyFont="1" applyFill="1" applyBorder="1" applyAlignment="1">
      <alignment horizontal="right"/>
    </xf>
    <xf numFmtId="171" fontId="2" fillId="0" borderId="0" xfId="2" applyNumberFormat="1" applyFont="1" applyFill="1" applyBorder="1" applyAlignment="1">
      <alignment horizontal="right"/>
    </xf>
    <xf numFmtId="171" fontId="2" fillId="0" borderId="3" xfId="2" quotePrefix="1" applyNumberFormat="1" applyFont="1" applyFill="1" applyBorder="1" applyAlignment="1">
      <alignment horizontal="right"/>
    </xf>
    <xf numFmtId="171" fontId="2" fillId="0" borderId="4" xfId="2" applyNumberFormat="1" applyFont="1" applyFill="1" applyBorder="1" applyAlignment="1">
      <alignment horizontal="right"/>
    </xf>
    <xf numFmtId="171" fontId="2" fillId="0" borderId="2" xfId="2" applyNumberFormat="1" applyFont="1" applyFill="1" applyBorder="1" applyAlignment="1">
      <alignment horizontal="right"/>
    </xf>
    <xf numFmtId="0" fontId="9" fillId="0" borderId="0" xfId="0" quotePrefix="1" applyFont="1" applyAlignment="1">
      <alignment horizontal="left"/>
    </xf>
    <xf numFmtId="171" fontId="8" fillId="0" borderId="0" xfId="2" quotePrefix="1" applyNumberFormat="1" applyFont="1" applyFill="1" applyBorder="1" applyAlignment="1">
      <alignment horizontal="right"/>
    </xf>
    <xf numFmtId="171" fontId="8" fillId="0" borderId="3" xfId="2" applyNumberFormat="1" applyFont="1" applyFill="1" applyBorder="1" applyAlignment="1">
      <alignment horizontal="right"/>
    </xf>
    <xf numFmtId="171" fontId="8" fillId="0" borderId="4" xfId="2" applyNumberFormat="1" applyFont="1" applyFill="1" applyBorder="1" applyAlignment="1">
      <alignment horizontal="right"/>
    </xf>
    <xf numFmtId="0" fontId="10" fillId="0" borderId="1" xfId="0" applyFont="1" applyBorder="1"/>
    <xf numFmtId="0" fontId="2" fillId="0" borderId="0" xfId="0" quotePrefix="1" applyFont="1" applyFill="1" applyAlignment="1">
      <alignment horizontal="left" wrapText="1" indent="4"/>
    </xf>
    <xf numFmtId="0" fontId="8" fillId="0" borderId="0" xfId="0" applyFont="1" applyFill="1"/>
    <xf numFmtId="0" fontId="10" fillId="0" borderId="1" xfId="0" applyFont="1" applyFill="1" applyBorder="1"/>
    <xf numFmtId="168" fontId="2" fillId="0" borderId="0" xfId="1" applyNumberFormat="1" applyFont="1" applyFill="1" applyAlignment="1"/>
    <xf numFmtId="168" fontId="2" fillId="0" borderId="0" xfId="1" quotePrefix="1" applyNumberFormat="1" applyFont="1" applyFill="1" applyAlignment="1">
      <alignment horizontal="left"/>
    </xf>
    <xf numFmtId="0" fontId="2" fillId="0" borderId="1" xfId="0" applyFont="1" applyFill="1" applyBorder="1" applyAlignment="1"/>
    <xf numFmtId="168" fontId="2" fillId="0" borderId="0" xfId="1" quotePrefix="1" applyNumberFormat="1" applyFont="1" applyFill="1" applyAlignment="1">
      <alignment horizontal="right"/>
    </xf>
    <xf numFmtId="168" fontId="2" fillId="0" borderId="1" xfId="1" applyNumberFormat="1" applyFont="1" applyFill="1" applyBorder="1" applyAlignment="1"/>
    <xf numFmtId="168" fontId="8" fillId="0" borderId="0" xfId="1" applyNumberFormat="1" applyFont="1" applyFill="1"/>
    <xf numFmtId="168" fontId="2" fillId="0" borderId="4" xfId="1" applyNumberFormat="1" applyFont="1" applyFill="1" applyBorder="1" applyAlignment="1">
      <alignment horizontal="left"/>
    </xf>
    <xf numFmtId="168" fontId="4" fillId="0" borderId="0" xfId="1" applyNumberFormat="1" applyFont="1" applyFill="1" applyAlignment="1"/>
    <xf numFmtId="168" fontId="4" fillId="0" borderId="0" xfId="1" quotePrefix="1" applyNumberFormat="1" applyFont="1" applyFill="1" applyAlignment="1">
      <alignment horizontal="left"/>
    </xf>
    <xf numFmtId="168" fontId="4" fillId="0" borderId="2" xfId="1" applyNumberFormat="1" applyFont="1" applyFill="1" applyBorder="1" applyAlignment="1"/>
    <xf numFmtId="168" fontId="4" fillId="0" borderId="2" xfId="1" quotePrefix="1" applyNumberFormat="1" applyFont="1" applyFill="1" applyBorder="1" applyAlignment="1">
      <alignment horizontal="left"/>
    </xf>
    <xf numFmtId="168" fontId="4" fillId="0" borderId="0" xfId="1" applyNumberFormat="1" applyFont="1" applyFill="1" applyBorder="1" applyAlignment="1"/>
    <xf numFmtId="168" fontId="4" fillId="0" borderId="0" xfId="1" quotePrefix="1" applyNumberFormat="1" applyFont="1" applyFill="1" applyBorder="1" applyAlignment="1">
      <alignment horizontal="left"/>
    </xf>
    <xf numFmtId="167" fontId="6" fillId="0" borderId="0" xfId="0" applyNumberFormat="1" applyFont="1"/>
    <xf numFmtId="0" fontId="11" fillId="0" borderId="0" xfId="3" applyFill="1"/>
    <xf numFmtId="0" fontId="12" fillId="0" borderId="0" xfId="3" applyFont="1" applyFill="1"/>
    <xf numFmtId="0" fontId="13" fillId="0" borderId="0" xfId="3" applyFont="1" applyFill="1"/>
    <xf numFmtId="173" fontId="13" fillId="0" borderId="0" xfId="3" applyNumberFormat="1" applyFont="1" applyFill="1"/>
    <xf numFmtId="0" fontId="11" fillId="0" borderId="0" xfId="3" applyFill="1" applyBorder="1"/>
    <xf numFmtId="173" fontId="12" fillId="0" borderId="0" xfId="3" applyNumberFormat="1" applyFont="1" applyFill="1"/>
    <xf numFmtId="169" fontId="8" fillId="0" borderId="1" xfId="0" applyNumberFormat="1" applyFont="1" applyBorder="1"/>
    <xf numFmtId="0" fontId="2" fillId="0" borderId="0" xfId="3" applyFont="1" applyFill="1"/>
    <xf numFmtId="0" fontId="8" fillId="0" borderId="0" xfId="3" applyFont="1" applyFill="1"/>
    <xf numFmtId="172" fontId="4" fillId="0" borderId="0" xfId="4" applyNumberFormat="1" applyFont="1" applyFill="1"/>
    <xf numFmtId="173" fontId="2" fillId="0" borderId="0" xfId="3" applyNumberFormat="1" applyFont="1" applyFill="1"/>
    <xf numFmtId="0" fontId="2" fillId="0" borderId="0" xfId="3" applyFont="1" applyFill="1" applyAlignment="1">
      <alignment horizontal="left" indent="2"/>
    </xf>
    <xf numFmtId="37" fontId="4" fillId="0" borderId="0" xfId="3" applyNumberFormat="1" applyFont="1" applyFill="1"/>
    <xf numFmtId="0" fontId="4" fillId="0" borderId="0" xfId="3" applyFont="1" applyFill="1"/>
    <xf numFmtId="168" fontId="4" fillId="0" borderId="0" xfId="5" applyNumberFormat="1" applyFont="1" applyFill="1" applyAlignment="1"/>
    <xf numFmtId="165" fontId="4" fillId="0" borderId="0" xfId="5" applyNumberFormat="1" applyFont="1" applyAlignment="1">
      <alignment horizontal="right"/>
    </xf>
    <xf numFmtId="37" fontId="4" fillId="0" borderId="0" xfId="5" applyNumberFormat="1" applyFont="1" applyFill="1"/>
    <xf numFmtId="37" fontId="2" fillId="0" borderId="0" xfId="3" applyNumberFormat="1" applyFont="1" applyFill="1"/>
    <xf numFmtId="0" fontId="2" fillId="0" borderId="0" xfId="3" applyFont="1" applyFill="1" applyBorder="1" applyAlignment="1">
      <alignment horizontal="left" indent="2"/>
    </xf>
    <xf numFmtId="0" fontId="2" fillId="0" borderId="0" xfId="3" applyFont="1" applyFill="1" applyBorder="1"/>
    <xf numFmtId="37" fontId="4" fillId="0" borderId="0" xfId="3" applyNumberFormat="1" applyFont="1" applyFill="1" applyBorder="1"/>
    <xf numFmtId="0" fontId="4" fillId="0" borderId="0" xfId="3" applyFont="1" applyFill="1" applyBorder="1"/>
    <xf numFmtId="37" fontId="4" fillId="0" borderId="2" xfId="3" applyNumberFormat="1" applyFont="1" applyFill="1" applyBorder="1"/>
    <xf numFmtId="37" fontId="2" fillId="0" borderId="4" xfId="3" applyNumberFormat="1" applyFont="1" applyFill="1" applyBorder="1"/>
    <xf numFmtId="172" fontId="8" fillId="0" borderId="5" xfId="4" applyNumberFormat="1" applyFont="1" applyFill="1" applyBorder="1"/>
    <xf numFmtId="172" fontId="2" fillId="0" borderId="5" xfId="4" applyNumberFormat="1" applyFont="1" applyFill="1" applyBorder="1"/>
    <xf numFmtId="167" fontId="4" fillId="0" borderId="4" xfId="1" applyNumberFormat="1" applyFont="1" applyFill="1" applyBorder="1"/>
    <xf numFmtId="167" fontId="4" fillId="0" borderId="1" xfId="1" applyNumberFormat="1" applyFont="1" applyFill="1" applyBorder="1"/>
    <xf numFmtId="168" fontId="6" fillId="0" borderId="0" xfId="0" applyNumberFormat="1" applyFont="1"/>
    <xf numFmtId="170" fontId="16" fillId="0" borderId="0" xfId="7" applyNumberFormat="1" applyFont="1"/>
    <xf numFmtId="171" fontId="16" fillId="0" borderId="0" xfId="8" applyNumberFormat="1" applyFont="1"/>
    <xf numFmtId="167" fontId="0" fillId="0" borderId="0" xfId="0" applyNumberFormat="1"/>
    <xf numFmtId="165" fontId="15" fillId="0" borderId="2" xfId="0" applyNumberFormat="1" applyFont="1" applyBorder="1" applyAlignment="1">
      <alignment horizontal="right"/>
    </xf>
    <xf numFmtId="175" fontId="15" fillId="0" borderId="0" xfId="0" applyNumberFormat="1" applyFont="1"/>
    <xf numFmtId="174" fontId="17" fillId="0" borderId="0" xfId="0" applyNumberFormat="1" applyFont="1" applyFill="1" applyBorder="1"/>
    <xf numFmtId="0" fontId="0" fillId="0" borderId="0" xfId="0" applyFont="1"/>
    <xf numFmtId="0" fontId="18" fillId="0" borderId="0" xfId="0" applyFont="1"/>
    <xf numFmtId="0" fontId="19" fillId="0" borderId="0" xfId="0" applyFont="1"/>
    <xf numFmtId="171" fontId="10" fillId="0" borderId="0" xfId="8" applyNumberFormat="1" applyFont="1"/>
    <xf numFmtId="175" fontId="6" fillId="0" borderId="0" xfId="0" applyNumberFormat="1" applyFont="1"/>
    <xf numFmtId="170" fontId="10" fillId="0" borderId="0" xfId="7" applyNumberFormat="1" applyFont="1"/>
    <xf numFmtId="0" fontId="23" fillId="0" borderId="2" xfId="0" applyFont="1" applyBorder="1"/>
    <xf numFmtId="0" fontId="6" fillId="0" borderId="2" xfId="0" applyFont="1" applyBorder="1"/>
    <xf numFmtId="0" fontId="6" fillId="0" borderId="0" xfId="0" applyFont="1" applyFill="1" applyBorder="1"/>
    <xf numFmtId="0" fontId="6" fillId="0" borderId="0" xfId="0" applyFont="1" applyAlignment="1">
      <alignment horizontal="left"/>
    </xf>
    <xf numFmtId="170" fontId="20" fillId="0" borderId="0" xfId="7" applyNumberFormat="1" applyFont="1" applyAlignment="1">
      <alignment horizontal="right"/>
    </xf>
    <xf numFmtId="0" fontId="6" fillId="0" borderId="0" xfId="0" applyFont="1" applyAlignment="1">
      <alignment horizontal="right"/>
    </xf>
    <xf numFmtId="171" fontId="6" fillId="0" borderId="0" xfId="8" applyNumberFormat="1" applyFont="1"/>
    <xf numFmtId="0" fontId="6" fillId="0" borderId="5" xfId="0" applyFont="1" applyBorder="1" applyAlignment="1">
      <alignment horizontal="left"/>
    </xf>
    <xf numFmtId="170" fontId="2" fillId="0" borderId="5" xfId="7" applyNumberFormat="1" applyFont="1" applyBorder="1" applyAlignment="1">
      <alignment horizontal="right"/>
    </xf>
    <xf numFmtId="0" fontId="6" fillId="0" borderId="5" xfId="0" applyFont="1" applyBorder="1" applyAlignment="1">
      <alignment horizontal="right"/>
    </xf>
    <xf numFmtId="0" fontId="6" fillId="0" borderId="5" xfId="0" applyFont="1" applyBorder="1"/>
    <xf numFmtId="171" fontId="6" fillId="0" borderId="0" xfId="0" applyNumberFormat="1" applyFont="1"/>
    <xf numFmtId="0" fontId="6" fillId="0" borderId="2" xfId="0" applyFont="1" applyFill="1" applyBorder="1" applyAlignment="1">
      <alignment horizontal="left"/>
    </xf>
    <xf numFmtId="165" fontId="23" fillId="0" borderId="2" xfId="0" applyNumberFormat="1" applyFont="1" applyBorder="1" applyAlignment="1">
      <alignment horizontal="right"/>
    </xf>
    <xf numFmtId="0" fontId="23" fillId="0" borderId="0" xfId="0" applyFont="1"/>
    <xf numFmtId="175" fontId="23" fillId="0" borderId="0" xfId="0" applyNumberFormat="1" applyFont="1"/>
    <xf numFmtId="0" fontId="6" fillId="0" borderId="0" xfId="0" applyFont="1" applyBorder="1"/>
    <xf numFmtId="170" fontId="6" fillId="0" borderId="0" xfId="7" applyNumberFormat="1" applyFont="1" applyBorder="1"/>
    <xf numFmtId="174" fontId="6" fillId="0" borderId="0" xfId="0" applyNumberFormat="1" applyFont="1"/>
    <xf numFmtId="170" fontId="6" fillId="0" borderId="0" xfId="7" applyNumberFormat="1" applyFont="1"/>
    <xf numFmtId="0" fontId="6" fillId="0" borderId="0" xfId="0" applyFont="1" applyAlignment="1">
      <alignment horizontal="centerContinuous"/>
    </xf>
    <xf numFmtId="176" fontId="6" fillId="0" borderId="0" xfId="0" applyNumberFormat="1" applyFont="1" applyAlignment="1">
      <alignment horizontal="right"/>
    </xf>
    <xf numFmtId="174" fontId="6" fillId="0" borderId="0" xfId="0" applyNumberFormat="1" applyFont="1" applyAlignment="1">
      <alignment horizontal="right"/>
    </xf>
    <xf numFmtId="173" fontId="6" fillId="0" borderId="0" xfId="0" applyNumberFormat="1" applyFont="1" applyAlignment="1">
      <alignment horizontal="right"/>
    </xf>
    <xf numFmtId="0" fontId="23" fillId="0" borderId="5" xfId="0" applyFont="1" applyBorder="1"/>
    <xf numFmtId="170" fontId="23" fillId="0" borderId="5" xfId="0" applyNumberFormat="1" applyFont="1" applyBorder="1"/>
    <xf numFmtId="0" fontId="23" fillId="0" borderId="6" xfId="0" applyFont="1" applyBorder="1"/>
    <xf numFmtId="170" fontId="25" fillId="0" borderId="7" xfId="7" applyNumberFormat="1" applyFont="1" applyBorder="1"/>
    <xf numFmtId="170" fontId="23" fillId="0" borderId="7" xfId="7" applyNumberFormat="1" applyFont="1" applyBorder="1"/>
    <xf numFmtId="165" fontId="26" fillId="0" borderId="0" xfId="6" applyNumberFormat="1" applyFont="1" applyBorder="1">
      <alignment vertical="center"/>
      <protection locked="0"/>
    </xf>
    <xf numFmtId="165" fontId="21" fillId="0" borderId="0" xfId="6" applyNumberFormat="1" applyFont="1" applyBorder="1">
      <alignment vertical="center"/>
      <protection locked="0"/>
    </xf>
    <xf numFmtId="0" fontId="8" fillId="0" borderId="0" xfId="0" applyFont="1" applyAlignment="1">
      <alignment horizontal="right"/>
    </xf>
    <xf numFmtId="174" fontId="2" fillId="0" borderId="0" xfId="0" applyNumberFormat="1" applyFont="1" applyFill="1" applyBorder="1"/>
    <xf numFmtId="171" fontId="24" fillId="0" borderId="0" xfId="8" applyNumberFormat="1" applyFont="1"/>
    <xf numFmtId="170" fontId="6" fillId="3" borderId="0" xfId="7" applyNumberFormat="1" applyFont="1" applyFill="1"/>
    <xf numFmtId="170" fontId="6" fillId="0" borderId="0" xfId="7" applyNumberFormat="1" applyFont="1" applyFill="1"/>
    <xf numFmtId="170" fontId="24" fillId="0" borderId="0" xfId="7" applyNumberFormat="1" applyFont="1" applyFill="1"/>
    <xf numFmtId="170" fontId="27" fillId="0" borderId="0" xfId="7" applyNumberFormat="1" applyFont="1" applyFill="1"/>
    <xf numFmtId="170" fontId="10" fillId="0" borderId="0" xfId="7" applyNumberFormat="1" applyFont="1" applyFill="1"/>
    <xf numFmtId="0" fontId="24" fillId="0" borderId="0" xfId="0" applyFont="1"/>
    <xf numFmtId="170" fontId="22" fillId="0" borderId="0" xfId="7" applyNumberFormat="1" applyFont="1"/>
    <xf numFmtId="170" fontId="28" fillId="3" borderId="0" xfId="7" applyNumberFormat="1" applyFont="1" applyFill="1" applyBorder="1" applyAlignment="1" applyProtection="1">
      <alignment vertical="center"/>
      <protection locked="0"/>
    </xf>
    <xf numFmtId="170" fontId="22" fillId="0" borderId="0" xfId="7" applyNumberFormat="1" applyFont="1" applyBorder="1" applyAlignment="1" applyProtection="1">
      <alignment vertical="center"/>
      <protection locked="0"/>
    </xf>
    <xf numFmtId="170" fontId="10" fillId="3" borderId="0" xfId="7" applyNumberFormat="1" applyFont="1" applyFill="1"/>
    <xf numFmtId="170" fontId="2" fillId="0" borderId="0" xfId="7" applyNumberFormat="1" applyFont="1"/>
    <xf numFmtId="170" fontId="21" fillId="0" borderId="0" xfId="7" applyNumberFormat="1" applyFont="1"/>
    <xf numFmtId="171" fontId="21" fillId="0" borderId="0" xfId="0" applyNumberFormat="1" applyFont="1"/>
    <xf numFmtId="171" fontId="10" fillId="0" borderId="0" xfId="0" applyNumberFormat="1" applyFont="1"/>
    <xf numFmtId="170" fontId="8" fillId="3" borderId="0" xfId="7" applyNumberFormat="1" applyFont="1" applyFill="1" applyBorder="1" applyAlignment="1" applyProtection="1">
      <alignment vertical="center"/>
      <protection locked="0"/>
    </xf>
    <xf numFmtId="170" fontId="26" fillId="0" borderId="0" xfId="7" applyNumberFormat="1" applyFont="1" applyBorder="1" applyAlignment="1" applyProtection="1">
      <alignment vertical="center"/>
      <protection locked="0"/>
    </xf>
    <xf numFmtId="0" fontId="6" fillId="0" borderId="0" xfId="0" quotePrefix="1" applyFont="1"/>
    <xf numFmtId="170" fontId="23" fillId="0" borderId="0" xfId="7" applyNumberFormat="1" applyFont="1"/>
    <xf numFmtId="170" fontId="24" fillId="0" borderId="0" xfId="7" applyNumberFormat="1" applyFont="1" applyBorder="1"/>
    <xf numFmtId="170" fontId="24" fillId="0" borderId="2" xfId="7" applyNumberFormat="1" applyFont="1" applyBorder="1"/>
    <xf numFmtId="170" fontId="6" fillId="0" borderId="0" xfId="0" applyNumberFormat="1" applyFont="1"/>
    <xf numFmtId="10" fontId="21" fillId="0" borderId="0" xfId="0" applyNumberFormat="1" applyFont="1"/>
    <xf numFmtId="168" fontId="22" fillId="0" borderId="0" xfId="1" applyNumberFormat="1" applyFont="1"/>
    <xf numFmtId="168" fontId="6" fillId="0" borderId="0" xfId="1" applyNumberFormat="1" applyFont="1"/>
    <xf numFmtId="168" fontId="23" fillId="0" borderId="0" xfId="1" applyNumberFormat="1" applyFont="1"/>
    <xf numFmtId="168" fontId="10" fillId="0" borderId="0" xfId="1" applyNumberFormat="1" applyFont="1"/>
    <xf numFmtId="168" fontId="0" fillId="0" borderId="0" xfId="1" applyNumberFormat="1" applyFont="1"/>
    <xf numFmtId="171" fontId="10" fillId="0" borderId="0" xfId="2" applyNumberFormat="1" applyFont="1"/>
    <xf numFmtId="0" fontId="8" fillId="0" borderId="5" xfId="0" applyFont="1" applyBorder="1"/>
    <xf numFmtId="168" fontId="6" fillId="0" borderId="5" xfId="1" applyNumberFormat="1" applyFont="1" applyBorder="1"/>
    <xf numFmtId="168" fontId="10" fillId="0" borderId="5" xfId="1" applyNumberFormat="1" applyFont="1" applyBorder="1"/>
    <xf numFmtId="168" fontId="8" fillId="0" borderId="8" xfId="1" applyNumberFormat="1" applyFont="1" applyBorder="1"/>
    <xf numFmtId="168" fontId="23" fillId="0" borderId="8" xfId="1" applyNumberFormat="1" applyFont="1" applyBorder="1"/>
    <xf numFmtId="0" fontId="2" fillId="0" borderId="1" xfId="3" applyFont="1" applyFill="1" applyBorder="1"/>
    <xf numFmtId="0" fontId="29" fillId="0" borderId="0" xfId="0" applyFont="1"/>
    <xf numFmtId="0" fontId="7" fillId="0" borderId="8" xfId="0" applyFont="1" applyBorder="1"/>
    <xf numFmtId="165" fontId="31" fillId="0" borderId="0" xfId="6" applyNumberFormat="1" applyFont="1" applyBorder="1">
      <alignment vertical="center"/>
      <protection locked="0"/>
    </xf>
    <xf numFmtId="0" fontId="0" fillId="4" borderId="0" xfId="0" applyFill="1"/>
    <xf numFmtId="0" fontId="6" fillId="4" borderId="0" xfId="0" applyFont="1" applyFill="1"/>
    <xf numFmtId="175" fontId="6" fillId="4" borderId="0" xfId="0" applyNumberFormat="1" applyFont="1" applyFill="1"/>
    <xf numFmtId="170" fontId="10" fillId="4" borderId="0" xfId="7" applyNumberFormat="1" applyFont="1" applyFill="1"/>
    <xf numFmtId="0" fontId="32" fillId="2" borderId="0" xfId="0" applyFont="1" applyFill="1" applyAlignment="1">
      <alignment horizontal="right"/>
    </xf>
    <xf numFmtId="0" fontId="33" fillId="0" borderId="0" xfId="0" applyFont="1"/>
    <xf numFmtId="0" fontId="34" fillId="0" borderId="0" xfId="0" quotePrefix="1" applyFont="1" applyAlignment="1">
      <alignment horizontal="left"/>
    </xf>
    <xf numFmtId="0" fontId="11" fillId="0" borderId="0" xfId="0" applyFont="1" applyAlignment="1">
      <alignment vertical="top"/>
    </xf>
    <xf numFmtId="0" fontId="0" fillId="0" borderId="0" xfId="0" applyAlignment="1">
      <alignment vertical="top"/>
    </xf>
    <xf numFmtId="0" fontId="11" fillId="0" borderId="0" xfId="0" applyFont="1" applyAlignment="1">
      <alignment horizontal="left" vertical="top" indent="2"/>
    </xf>
    <xf numFmtId="0" fontId="12" fillId="0" borderId="0" xfId="0" applyFont="1" applyAlignment="1">
      <alignment vertical="top"/>
    </xf>
    <xf numFmtId="0" fontId="12" fillId="0" borderId="5" xfId="0" applyFont="1" applyBorder="1" applyAlignment="1">
      <alignment vertical="top"/>
    </xf>
    <xf numFmtId="0" fontId="7" fillId="0" borderId="5" xfId="0" applyFont="1" applyBorder="1"/>
    <xf numFmtId="0" fontId="6" fillId="0" borderId="1" xfId="0" applyFont="1" applyBorder="1"/>
    <xf numFmtId="169" fontId="12" fillId="0" borderId="1" xfId="0" applyNumberFormat="1" applyFont="1" applyBorder="1" applyAlignment="1">
      <alignment vertical="top"/>
    </xf>
    <xf numFmtId="164" fontId="4" fillId="0" borderId="0" xfId="0" applyNumberFormat="1" applyFont="1" applyAlignment="1">
      <alignment vertical="top"/>
    </xf>
    <xf numFmtId="171" fontId="19" fillId="0" borderId="0" xfId="2" applyNumberFormat="1" applyFont="1" applyAlignment="1">
      <alignment vertical="top"/>
    </xf>
    <xf numFmtId="171" fontId="36" fillId="0" borderId="0" xfId="2" applyNumberFormat="1" applyFont="1" applyAlignment="1">
      <alignment vertical="top"/>
    </xf>
    <xf numFmtId="37" fontId="4" fillId="0" borderId="0" xfId="0" applyNumberFormat="1" applyFont="1" applyAlignment="1">
      <alignment vertical="top"/>
    </xf>
    <xf numFmtId="37" fontId="2" fillId="0" borderId="0" xfId="0" applyNumberFormat="1" applyFont="1" applyAlignment="1">
      <alignment vertical="top"/>
    </xf>
    <xf numFmtId="164" fontId="8" fillId="0" borderId="5" xfId="0" applyNumberFormat="1" applyFont="1" applyBorder="1" applyAlignment="1">
      <alignment vertical="top"/>
    </xf>
    <xf numFmtId="0" fontId="35" fillId="0" borderId="0" xfId="0" applyFont="1" applyAlignment="1">
      <alignment horizontal="left" vertical="top" indent="2"/>
    </xf>
    <xf numFmtId="168" fontId="2" fillId="0" borderId="2" xfId="1" applyNumberFormat="1" applyFont="1" applyFill="1" applyBorder="1"/>
    <xf numFmtId="171" fontId="4" fillId="0" borderId="2" xfId="2" applyNumberFormat="1" applyFont="1" applyFill="1" applyBorder="1" applyAlignment="1">
      <alignment horizontal="right"/>
    </xf>
    <xf numFmtId="9" fontId="4" fillId="0" borderId="0" xfId="0" applyNumberFormat="1" applyFont="1"/>
    <xf numFmtId="171" fontId="4" fillId="0" borderId="0" xfId="0" applyNumberFormat="1" applyFont="1"/>
    <xf numFmtId="171" fontId="6" fillId="0" borderId="0" xfId="2" applyNumberFormat="1" applyFont="1"/>
    <xf numFmtId="168" fontId="2" fillId="0" borderId="2" xfId="1" applyNumberFormat="1" applyFont="1" applyFill="1" applyBorder="1" applyAlignment="1">
      <alignment horizontal="left"/>
    </xf>
    <xf numFmtId="168" fontId="4" fillId="0" borderId="0" xfId="1" applyNumberFormat="1" applyFont="1"/>
    <xf numFmtId="168" fontId="30" fillId="0" borderId="0" xfId="1" quotePrefix="1" applyNumberFormat="1" applyFont="1" applyFill="1" applyAlignment="1">
      <alignment horizontal="left"/>
    </xf>
    <xf numFmtId="168" fontId="30" fillId="0" borderId="2" xfId="1" quotePrefix="1" applyNumberFormat="1" applyFont="1" applyFill="1" applyBorder="1" applyAlignment="1">
      <alignment horizontal="left"/>
    </xf>
    <xf numFmtId="178" fontId="0" fillId="0" borderId="0" xfId="0" applyNumberFormat="1"/>
    <xf numFmtId="0" fontId="23" fillId="5" borderId="0" xfId="0" applyFont="1" applyFill="1"/>
    <xf numFmtId="0" fontId="15" fillId="5" borderId="0" xfId="0" applyFont="1" applyFill="1"/>
    <xf numFmtId="0" fontId="0" fillId="5" borderId="0" xfId="0" applyFill="1"/>
    <xf numFmtId="0" fontId="6" fillId="0" borderId="9" xfId="0" applyFont="1" applyBorder="1" applyAlignment="1">
      <alignment horizontal="left" indent="1"/>
    </xf>
    <xf numFmtId="0" fontId="6" fillId="0" borderId="10" xfId="0" applyFont="1" applyBorder="1"/>
    <xf numFmtId="170" fontId="6" fillId="0" borderId="10" xfId="7" applyNumberFormat="1" applyFont="1" applyBorder="1"/>
    <xf numFmtId="0" fontId="6" fillId="0" borderId="11" xfId="0" applyFont="1" applyBorder="1" applyAlignment="1">
      <alignment horizontal="left" indent="1"/>
    </xf>
    <xf numFmtId="0" fontId="6" fillId="0" borderId="12" xfId="0" applyFont="1" applyBorder="1" applyAlignment="1">
      <alignment horizontal="left" indent="1"/>
    </xf>
    <xf numFmtId="170" fontId="6" fillId="0" borderId="1" xfId="7" applyNumberFormat="1" applyFont="1" applyBorder="1"/>
    <xf numFmtId="170" fontId="4" fillId="0" borderId="0" xfId="7" applyNumberFormat="1" applyFont="1" applyFill="1"/>
    <xf numFmtId="168" fontId="30" fillId="0" borderId="0" xfId="1" applyNumberFormat="1" applyFont="1" applyFill="1"/>
    <xf numFmtId="167" fontId="2" fillId="0" borderId="4" xfId="1" applyNumberFormat="1" applyFont="1" applyFill="1" applyBorder="1"/>
    <xf numFmtId="167" fontId="2" fillId="0" borderId="1" xfId="1" applyNumberFormat="1" applyFont="1" applyFill="1" applyBorder="1"/>
    <xf numFmtId="172" fontId="30" fillId="0" borderId="0" xfId="4" applyNumberFormat="1" applyFont="1" applyFill="1"/>
    <xf numFmtId="0" fontId="30" fillId="0" borderId="0" xfId="3" applyFont="1" applyFill="1"/>
    <xf numFmtId="165" fontId="30" fillId="0" borderId="0" xfId="5" applyNumberFormat="1" applyFont="1" applyAlignment="1">
      <alignment horizontal="right"/>
    </xf>
    <xf numFmtId="37" fontId="30" fillId="0" borderId="0" xfId="5" applyNumberFormat="1" applyFont="1" applyFill="1"/>
    <xf numFmtId="37" fontId="30" fillId="0" borderId="0" xfId="3" applyNumberFormat="1" applyFont="1" applyFill="1"/>
    <xf numFmtId="170" fontId="30" fillId="0" borderId="0" xfId="1" applyNumberFormat="1" applyFont="1" applyFill="1"/>
    <xf numFmtId="170" fontId="24" fillId="0" borderId="0" xfId="7" applyNumberFormat="1" applyFont="1" applyFill="1" applyBorder="1"/>
    <xf numFmtId="170" fontId="24" fillId="0" borderId="2" xfId="7" applyNumberFormat="1" applyFont="1" applyFill="1" applyBorder="1"/>
    <xf numFmtId="0" fontId="37" fillId="0" borderId="0" xfId="0" applyFont="1"/>
    <xf numFmtId="37" fontId="11" fillId="0" borderId="0" xfId="0" applyNumberFormat="1" applyFont="1" applyAlignment="1">
      <alignment vertical="top"/>
    </xf>
    <xf numFmtId="37" fontId="12" fillId="0" borderId="0" xfId="0" applyNumberFormat="1" applyFont="1" applyAlignment="1">
      <alignment vertical="top"/>
    </xf>
    <xf numFmtId="170" fontId="28" fillId="4" borderId="0" xfId="7" applyNumberFormat="1" applyFont="1" applyFill="1" applyBorder="1" applyAlignment="1" applyProtection="1">
      <alignment vertical="center"/>
      <protection locked="0"/>
    </xf>
    <xf numFmtId="170" fontId="10" fillId="0" borderId="0" xfId="1" applyNumberFormat="1" applyFont="1" applyFill="1"/>
    <xf numFmtId="0" fontId="6" fillId="0" borderId="0" xfId="0" applyFont="1" applyFill="1"/>
    <xf numFmtId="168" fontId="6" fillId="0" borderId="0" xfId="0" applyNumberFormat="1" applyFont="1" applyFill="1"/>
    <xf numFmtId="0" fontId="6" fillId="0" borderId="8" xfId="0" applyFont="1" applyBorder="1"/>
    <xf numFmtId="170" fontId="10" fillId="0" borderId="8" xfId="7" applyNumberFormat="1" applyFont="1" applyBorder="1"/>
    <xf numFmtId="0" fontId="2" fillId="0" borderId="0" xfId="0" applyFont="1" applyFill="1" applyBorder="1"/>
    <xf numFmtId="167" fontId="4" fillId="0" borderId="0" xfId="1" applyNumberFormat="1" applyFont="1" applyFill="1" applyBorder="1"/>
    <xf numFmtId="167" fontId="2" fillId="0" borderId="0" xfId="1" applyNumberFormat="1" applyFont="1" applyFill="1" applyBorder="1"/>
    <xf numFmtId="0" fontId="7" fillId="0" borderId="0" xfId="0" applyFont="1" applyFill="1"/>
    <xf numFmtId="170" fontId="30" fillId="0" borderId="0" xfId="1" applyNumberFormat="1" applyFont="1" applyFill="1" applyBorder="1"/>
    <xf numFmtId="167" fontId="2" fillId="0" borderId="2" xfId="1" applyNumberFormat="1" applyFont="1" applyFill="1" applyBorder="1"/>
    <xf numFmtId="167" fontId="2" fillId="6" borderId="0" xfId="1" applyNumberFormat="1" applyFont="1" applyFill="1" applyBorder="1"/>
    <xf numFmtId="0" fontId="6" fillId="6" borderId="0" xfId="0" applyFont="1" applyFill="1"/>
    <xf numFmtId="0" fontId="8" fillId="0" borderId="0" xfId="0" applyFont="1" applyFill="1" applyAlignment="1">
      <alignment horizontal="left"/>
    </xf>
    <xf numFmtId="0" fontId="38" fillId="0" borderId="0" xfId="0" applyFont="1"/>
    <xf numFmtId="0" fontId="6" fillId="0" borderId="6" xfId="0" applyFont="1" applyFill="1" applyBorder="1"/>
    <xf numFmtId="168" fontId="6" fillId="0" borderId="7" xfId="1" applyNumberFormat="1" applyFont="1" applyFill="1" applyBorder="1"/>
    <xf numFmtId="0" fontId="0" fillId="0" borderId="0" xfId="0" applyFont="1" applyFill="1"/>
    <xf numFmtId="170" fontId="2" fillId="0" borderId="0" xfId="1" applyNumberFormat="1" applyFont="1" applyFill="1" applyBorder="1" applyAlignment="1" applyProtection="1">
      <alignment vertical="center"/>
      <protection locked="0"/>
    </xf>
    <xf numFmtId="170" fontId="28" fillId="0" borderId="0" xfId="7" applyNumberFormat="1" applyFont="1" applyFill="1" applyBorder="1" applyAlignment="1" applyProtection="1">
      <alignment vertical="center"/>
      <protection locked="0"/>
    </xf>
    <xf numFmtId="170" fontId="22" fillId="0" borderId="0" xfId="1" applyNumberFormat="1" applyFont="1" applyFill="1"/>
    <xf numFmtId="170" fontId="2" fillId="0" borderId="0" xfId="7" applyNumberFormat="1" applyFont="1" applyFill="1"/>
    <xf numFmtId="170" fontId="22" fillId="0" borderId="0" xfId="7" applyNumberFormat="1" applyFont="1" applyFill="1"/>
    <xf numFmtId="178" fontId="6" fillId="0" borderId="0" xfId="0" applyNumberFormat="1" applyFont="1" applyFill="1"/>
    <xf numFmtId="170" fontId="6" fillId="0" borderId="0" xfId="0" applyNumberFormat="1" applyFont="1" applyFill="1"/>
    <xf numFmtId="171" fontId="21" fillId="0" borderId="0" xfId="0" applyNumberFormat="1" applyFont="1" applyFill="1"/>
    <xf numFmtId="171" fontId="2" fillId="0" borderId="0" xfId="0" applyNumberFormat="1" applyFont="1" applyFill="1"/>
    <xf numFmtId="167" fontId="0" fillId="0" borderId="0" xfId="0" applyNumberFormat="1" applyFont="1" applyFill="1"/>
    <xf numFmtId="167" fontId="6" fillId="0" borderId="0" xfId="0" applyNumberFormat="1" applyFont="1" applyFill="1"/>
    <xf numFmtId="10" fontId="21" fillId="0" borderId="0" xfId="0" applyNumberFormat="1" applyFont="1" applyFill="1"/>
    <xf numFmtId="165" fontId="22" fillId="0" borderId="0" xfId="6" applyNumberFormat="1" applyFont="1" applyBorder="1">
      <alignment vertical="center"/>
      <protection locked="0"/>
    </xf>
    <xf numFmtId="171" fontId="2" fillId="0" borderId="0" xfId="8" applyNumberFormat="1" applyFont="1"/>
    <xf numFmtId="0" fontId="0" fillId="0" borderId="5" xfId="0" applyBorder="1"/>
    <xf numFmtId="0" fontId="0" fillId="0" borderId="2" xfId="0" applyBorder="1"/>
    <xf numFmtId="168" fontId="22" fillId="0" borderId="8" xfId="1" applyNumberFormat="1" applyFont="1" applyBorder="1"/>
    <xf numFmtId="170" fontId="4" fillId="0" borderId="0" xfId="1" applyNumberFormat="1" applyFont="1"/>
    <xf numFmtId="170" fontId="10" fillId="2" borderId="0" xfId="7" applyNumberFormat="1" applyFont="1" applyFill="1"/>
    <xf numFmtId="170" fontId="40" fillId="0" borderId="0" xfId="1" applyNumberFormat="1" applyFont="1"/>
    <xf numFmtId="170" fontId="4" fillId="0" borderId="0" xfId="7" applyNumberFormat="1" applyFont="1"/>
    <xf numFmtId="170" fontId="4" fillId="0" borderId="0" xfId="7" applyNumberFormat="1" applyFont="1" applyBorder="1" applyAlignment="1" applyProtection="1">
      <alignment vertical="center"/>
      <protection locked="0"/>
    </xf>
    <xf numFmtId="167" fontId="22" fillId="0" borderId="0" xfId="1" applyFont="1"/>
    <xf numFmtId="168" fontId="28" fillId="3" borderId="0" xfId="1" applyNumberFormat="1" applyFont="1" applyFill="1" applyBorder="1" applyAlignment="1" applyProtection="1">
      <alignment vertical="center"/>
      <protection locked="0"/>
    </xf>
    <xf numFmtId="168" fontId="10" fillId="3" borderId="0" xfId="1" applyNumberFormat="1" applyFont="1" applyFill="1"/>
    <xf numFmtId="168" fontId="21" fillId="0" borderId="0" xfId="1" applyNumberFormat="1" applyFont="1" applyFill="1"/>
    <xf numFmtId="168" fontId="2" fillId="0" borderId="0" xfId="1" applyNumberFormat="1" applyFont="1" applyBorder="1"/>
    <xf numFmtId="168" fontId="24" fillId="0" borderId="0" xfId="1" applyNumberFormat="1" applyFont="1"/>
    <xf numFmtId="168" fontId="24" fillId="0" borderId="0" xfId="1" applyNumberFormat="1" applyFont="1" applyFill="1"/>
    <xf numFmtId="168" fontId="10" fillId="0" borderId="0" xfId="1" applyNumberFormat="1" applyFont="1" applyFill="1"/>
    <xf numFmtId="168" fontId="24" fillId="0" borderId="0" xfId="1" applyNumberFormat="1" applyFont="1" applyBorder="1"/>
    <xf numFmtId="168" fontId="30" fillId="0" borderId="0" xfId="1" applyNumberFormat="1" applyFont="1" applyFill="1" applyBorder="1"/>
    <xf numFmtId="168" fontId="21" fillId="0" borderId="0" xfId="1" applyNumberFormat="1" applyFont="1"/>
    <xf numFmtId="168" fontId="24" fillId="0" borderId="0" xfId="1" applyNumberFormat="1" applyFont="1" applyFill="1" applyBorder="1"/>
    <xf numFmtId="168" fontId="6" fillId="0" borderId="0" xfId="1" applyNumberFormat="1" applyFont="1" applyFill="1"/>
    <xf numFmtId="177" fontId="4" fillId="0" borderId="0" xfId="0" applyNumberFormat="1" applyFont="1"/>
    <xf numFmtId="180" fontId="2" fillId="0" borderId="0" xfId="1" applyNumberFormat="1" applyFont="1" applyFill="1"/>
    <xf numFmtId="180" fontId="4" fillId="0" borderId="0" xfId="1" applyNumberFormat="1" applyFont="1" applyFill="1"/>
    <xf numFmtId="168" fontId="4" fillId="0" borderId="0" xfId="1" applyNumberFormat="1" applyFont="1" applyFill="1" applyBorder="1"/>
    <xf numFmtId="179" fontId="2" fillId="0" borderId="0" xfId="0" applyNumberFormat="1" applyFont="1" applyBorder="1"/>
    <xf numFmtId="167" fontId="4" fillId="0" borderId="0" xfId="1" applyNumberFormat="1" applyFont="1" applyAlignment="1">
      <alignment vertical="top"/>
    </xf>
    <xf numFmtId="170" fontId="4" fillId="0" borderId="0" xfId="1" applyNumberFormat="1" applyFont="1" applyBorder="1"/>
    <xf numFmtId="167" fontId="4" fillId="0" borderId="0" xfId="1" applyNumberFormat="1" applyFont="1" applyFill="1"/>
    <xf numFmtId="0" fontId="41" fillId="0" borderId="0" xfId="0" applyFont="1"/>
    <xf numFmtId="168" fontId="42" fillId="0" borderId="0" xfId="1" applyNumberFormat="1" applyFont="1"/>
    <xf numFmtId="168" fontId="41" fillId="0" borderId="0" xfId="1" applyNumberFormat="1" applyFont="1"/>
    <xf numFmtId="0" fontId="43" fillId="0" borderId="0" xfId="0" applyFont="1"/>
    <xf numFmtId="170" fontId="10" fillId="4" borderId="0" xfId="1" applyNumberFormat="1" applyFont="1" applyFill="1"/>
    <xf numFmtId="170" fontId="28" fillId="4" borderId="0" xfId="1" applyNumberFormat="1" applyFont="1" applyFill="1" applyBorder="1" applyAlignment="1" applyProtection="1">
      <alignment vertical="center"/>
      <protection locked="0"/>
    </xf>
    <xf numFmtId="170" fontId="4" fillId="0" borderId="0" xfId="1" applyNumberFormat="1" applyFont="1" applyFill="1" applyBorder="1" applyAlignment="1" applyProtection="1">
      <alignment vertical="center"/>
      <protection locked="0"/>
    </xf>
    <xf numFmtId="170" fontId="4" fillId="0" borderId="0" xfId="1" applyNumberFormat="1" applyFont="1" applyAlignment="1">
      <alignment vertical="top"/>
    </xf>
    <xf numFmtId="0" fontId="6" fillId="0" borderId="4" xfId="0" applyFont="1" applyBorder="1"/>
    <xf numFmtId="170" fontId="24" fillId="4" borderId="4" xfId="7" applyNumberFormat="1" applyFont="1" applyFill="1" applyBorder="1"/>
    <xf numFmtId="170" fontId="24" fillId="0" borderId="4" xfId="7" applyNumberFormat="1" applyFont="1" applyFill="1" applyBorder="1"/>
    <xf numFmtId="170" fontId="2" fillId="0" borderId="4" xfId="1" applyNumberFormat="1" applyFont="1" applyBorder="1" applyAlignment="1">
      <alignment vertical="top"/>
    </xf>
    <xf numFmtId="170" fontId="2" fillId="0" borderId="5" xfId="7" applyNumberFormat="1" applyFont="1" applyBorder="1" applyAlignment="1" applyProtection="1">
      <alignment vertical="center"/>
      <protection locked="0"/>
    </xf>
    <xf numFmtId="170" fontId="2" fillId="0" borderId="5" xfId="7" applyNumberFormat="1" applyFont="1" applyFill="1" applyBorder="1" applyAlignment="1" applyProtection="1">
      <alignment vertical="center"/>
      <protection locked="0"/>
    </xf>
    <xf numFmtId="170" fontId="4" fillId="0" borderId="5" xfId="7" applyNumberFormat="1" applyFont="1" applyBorder="1" applyAlignment="1" applyProtection="1">
      <alignment vertical="center"/>
      <protection locked="0"/>
    </xf>
    <xf numFmtId="170" fontId="4" fillId="0" borderId="0" xfId="0" applyNumberFormat="1" applyFont="1" applyFill="1"/>
    <xf numFmtId="0" fontId="0" fillId="7" borderId="0" xfId="0" applyFill="1"/>
    <xf numFmtId="0" fontId="39" fillId="7" borderId="0" xfId="0" applyFont="1" applyFill="1" applyAlignment="1">
      <alignment horizontal="left" indent="2"/>
    </xf>
    <xf numFmtId="0" fontId="39" fillId="7" borderId="0" xfId="0" applyFont="1" applyFill="1"/>
    <xf numFmtId="0" fontId="45" fillId="7" borderId="0" xfId="0" applyFont="1" applyFill="1"/>
    <xf numFmtId="0" fontId="44" fillId="7" borderId="0" xfId="9" applyFill="1"/>
    <xf numFmtId="0" fontId="46" fillId="7" borderId="0" xfId="0" applyFont="1" applyFill="1"/>
    <xf numFmtId="0" fontId="47" fillId="7" borderId="0" xfId="0" applyFont="1" applyFill="1"/>
    <xf numFmtId="37" fontId="11" fillId="0" borderId="0" xfId="10" applyNumberFormat="1" applyFont="1"/>
    <xf numFmtId="44" fontId="12" fillId="0" borderId="0" xfId="10" applyFont="1" applyFill="1"/>
    <xf numFmtId="0" fontId="11" fillId="0" borderId="0" xfId="0" applyFont="1" applyFill="1"/>
    <xf numFmtId="0" fontId="12" fillId="0" borderId="0" xfId="0" applyFont="1" applyFill="1"/>
    <xf numFmtId="37" fontId="11" fillId="0" borderId="0" xfId="0" applyNumberFormat="1" applyFont="1" applyFill="1"/>
    <xf numFmtId="37" fontId="12" fillId="0" borderId="0" xfId="0" applyNumberFormat="1" applyFont="1" applyFill="1"/>
    <xf numFmtId="37" fontId="11" fillId="0" borderId="2" xfId="0" applyNumberFormat="1" applyFont="1" applyFill="1" applyBorder="1"/>
    <xf numFmtId="37" fontId="12" fillId="0" borderId="2" xfId="0" applyNumberFormat="1" applyFont="1" applyFill="1" applyBorder="1"/>
    <xf numFmtId="169" fontId="8" fillId="0" borderId="0" xfId="0" applyNumberFormat="1" applyFont="1" applyBorder="1"/>
    <xf numFmtId="10" fontId="2" fillId="0" borderId="0" xfId="2" applyNumberFormat="1" applyFont="1" applyFill="1" applyAlignment="1">
      <alignment horizontal="right"/>
    </xf>
    <xf numFmtId="10" fontId="2" fillId="0" borderId="2" xfId="2" applyNumberFormat="1" applyFont="1" applyFill="1" applyBorder="1" applyAlignment="1">
      <alignment horizontal="right"/>
    </xf>
    <xf numFmtId="170" fontId="7" fillId="3" borderId="0" xfId="7" applyNumberFormat="1" applyFont="1" applyFill="1"/>
    <xf numFmtId="0" fontId="48" fillId="9" borderId="0" xfId="11" applyFill="1" applyBorder="1"/>
    <xf numFmtId="0" fontId="7" fillId="2" borderId="14" xfId="0" applyFont="1" applyFill="1" applyBorder="1"/>
    <xf numFmtId="0" fontId="7" fillId="2" borderId="0" xfId="0" applyFont="1" applyFill="1" applyBorder="1"/>
    <xf numFmtId="2" fontId="2" fillId="0" borderId="0" xfId="0" applyNumberFormat="1" applyFont="1" applyFill="1" applyBorder="1"/>
    <xf numFmtId="2" fontId="6" fillId="0" borderId="0" xfId="0" applyNumberFormat="1" applyFont="1"/>
    <xf numFmtId="2" fontId="48" fillId="9" borderId="0" xfId="11" applyNumberFormat="1" applyFill="1" applyBorder="1"/>
    <xf numFmtId="177" fontId="0" fillId="0" borderId="0" xfId="0" applyNumberFormat="1"/>
    <xf numFmtId="2" fontId="0" fillId="0" borderId="0" xfId="0" applyNumberFormat="1"/>
    <xf numFmtId="174" fontId="0" fillId="0" borderId="0" xfId="0" applyNumberFormat="1"/>
    <xf numFmtId="10" fontId="36" fillId="0" borderId="0" xfId="2" applyNumberFormat="1" applyFont="1" applyAlignment="1">
      <alignment vertical="top"/>
    </xf>
    <xf numFmtId="171" fontId="49" fillId="0" borderId="0" xfId="2" applyNumberFormat="1" applyFont="1" applyAlignment="1">
      <alignment vertical="top"/>
    </xf>
    <xf numFmtId="43" fontId="6" fillId="0" borderId="0" xfId="1" applyNumberFormat="1" applyFont="1"/>
    <xf numFmtId="43" fontId="6" fillId="0" borderId="0" xfId="0" applyNumberFormat="1" applyFont="1"/>
    <xf numFmtId="10" fontId="4" fillId="0" borderId="2" xfId="2" applyNumberFormat="1" applyFont="1" applyFill="1" applyBorder="1" applyAlignment="1">
      <alignment horizontal="right"/>
    </xf>
    <xf numFmtId="10" fontId="6" fillId="0" borderId="0" xfId="1" applyNumberFormat="1" applyFont="1"/>
    <xf numFmtId="169" fontId="8" fillId="2" borderId="1" xfId="0" applyNumberFormat="1" applyFont="1" applyFill="1" applyBorder="1"/>
    <xf numFmtId="0" fontId="6" fillId="0" borderId="3" xfId="0" applyFont="1" applyBorder="1"/>
    <xf numFmtId="0" fontId="0" fillId="0" borderId="3" xfId="0" applyBorder="1"/>
    <xf numFmtId="171" fontId="6" fillId="0" borderId="3" xfId="0" applyNumberFormat="1" applyFont="1" applyBorder="1"/>
    <xf numFmtId="174" fontId="6" fillId="0" borderId="10" xfId="7" applyNumberFormat="1" applyFont="1" applyBorder="1"/>
    <xf numFmtId="174" fontId="6" fillId="0" borderId="0" xfId="7" applyNumberFormat="1" applyFont="1" applyBorder="1"/>
    <xf numFmtId="174" fontId="6" fillId="0" borderId="1" xfId="7" applyNumberFormat="1" applyFont="1" applyBorder="1"/>
    <xf numFmtId="168" fontId="2" fillId="0" borderId="3" xfId="1" quotePrefix="1" applyNumberFormat="1" applyFont="1" applyFill="1" applyBorder="1" applyAlignment="1">
      <alignment horizontal="right"/>
    </xf>
    <xf numFmtId="164" fontId="2" fillId="0" borderId="0" xfId="0" applyNumberFormat="1" applyFont="1" applyFill="1"/>
    <xf numFmtId="167" fontId="2" fillId="0" borderId="8" xfId="1" applyNumberFormat="1" applyFont="1" applyFill="1" applyBorder="1"/>
    <xf numFmtId="167" fontId="4" fillId="0" borderId="0" xfId="1" applyFont="1"/>
    <xf numFmtId="168" fontId="4" fillId="0" borderId="0" xfId="1" applyNumberFormat="1" applyFont="1" applyBorder="1" applyAlignment="1" applyProtection="1">
      <alignment vertical="center"/>
      <protection locked="0"/>
    </xf>
    <xf numFmtId="0" fontId="52" fillId="0" borderId="0" xfId="0" applyFont="1"/>
    <xf numFmtId="170" fontId="4" fillId="0" borderId="0" xfId="1" applyNumberFormat="1" applyFont="1" applyFill="1"/>
    <xf numFmtId="167" fontId="6" fillId="0" borderId="0" xfId="1" applyNumberFormat="1" applyFont="1"/>
    <xf numFmtId="168" fontId="6" fillId="5" borderId="0" xfId="1" applyNumberFormat="1" applyFont="1" applyFill="1"/>
    <xf numFmtId="0" fontId="0" fillId="5" borderId="0" xfId="0" applyFont="1" applyFill="1"/>
    <xf numFmtId="10" fontId="6" fillId="0" borderId="0" xfId="1" applyNumberFormat="1" applyFont="1" applyFill="1"/>
    <xf numFmtId="171" fontId="10" fillId="0" borderId="0" xfId="2" applyNumberFormat="1" applyFont="1" applyFill="1"/>
    <xf numFmtId="170" fontId="10" fillId="0" borderId="3" xfId="7" applyNumberFormat="1" applyFont="1" applyFill="1" applyBorder="1"/>
    <xf numFmtId="37" fontId="30" fillId="0" borderId="0" xfId="3" applyNumberFormat="1" applyFont="1" applyFill="1" applyBorder="1"/>
    <xf numFmtId="37" fontId="11" fillId="0" borderId="3" xfId="0" applyNumberFormat="1" applyFont="1" applyFill="1" applyBorder="1"/>
    <xf numFmtId="170" fontId="8" fillId="5" borderId="0" xfId="7" applyNumberFormat="1" applyFont="1" applyFill="1" applyBorder="1" applyAlignment="1" applyProtection="1">
      <alignment vertical="center"/>
      <protection locked="0"/>
    </xf>
    <xf numFmtId="170" fontId="26" fillId="5" borderId="0" xfId="7" applyNumberFormat="1" applyFont="1" applyFill="1" applyBorder="1" applyAlignment="1" applyProtection="1">
      <alignment vertical="center"/>
      <protection locked="0"/>
    </xf>
    <xf numFmtId="170" fontId="28" fillId="5" borderId="0" xfId="7" applyNumberFormat="1" applyFont="1" applyFill="1" applyBorder="1" applyAlignment="1" applyProtection="1">
      <alignment vertical="center"/>
      <protection locked="0"/>
    </xf>
    <xf numFmtId="170" fontId="22" fillId="5" borderId="0" xfId="7" applyNumberFormat="1" applyFont="1" applyFill="1" applyBorder="1" applyAlignment="1" applyProtection="1">
      <alignment vertical="center"/>
      <protection locked="0"/>
    </xf>
    <xf numFmtId="170" fontId="10" fillId="5" borderId="0" xfId="7" applyNumberFormat="1" applyFont="1" applyFill="1"/>
    <xf numFmtId="170" fontId="22" fillId="5" borderId="0" xfId="7" applyNumberFormat="1" applyFont="1" applyFill="1"/>
    <xf numFmtId="170" fontId="21" fillId="5" borderId="0" xfId="7" applyNumberFormat="1" applyFont="1" applyFill="1"/>
    <xf numFmtId="170" fontId="23" fillId="5" borderId="0" xfId="7" applyNumberFormat="1" applyFont="1" applyFill="1"/>
  </cellXfs>
  <cellStyles count="12">
    <cellStyle name="Comma" xfId="1" builtinId="3"/>
    <cellStyle name="Comma 2" xfId="5" xr:uid="{00000000-0005-0000-0000-000001000000}"/>
    <cellStyle name="Comma 3" xfId="7" xr:uid="{00000000-0005-0000-0000-000002000000}"/>
    <cellStyle name="Currency" xfId="10" builtinId="4"/>
    <cellStyle name="Currency 2" xfId="4" xr:uid="{00000000-0005-0000-0000-000003000000}"/>
    <cellStyle name="Hyperlink" xfId="9" builtinId="8"/>
    <cellStyle name="Normal" xfId="0" builtinId="0"/>
    <cellStyle name="Normal 2" xfId="3" xr:uid="{00000000-0005-0000-0000-000006000000}"/>
    <cellStyle name="Normal_BJH (Dec 2007)" xfId="6" xr:uid="{00000000-0005-0000-0000-000007000000}"/>
    <cellStyle name="Output" xfId="11" builtinId="21"/>
    <cellStyle name="Percent" xfId="2" builtinId="5"/>
    <cellStyle name="Percent 2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591714</xdr:colOff>
      <xdr:row>8</xdr:row>
      <xdr:rowOff>142875</xdr:rowOff>
    </xdr:from>
    <xdr:to>
      <xdr:col>27</xdr:col>
      <xdr:colOff>106796</xdr:colOff>
      <xdr:row>17</xdr:row>
      <xdr:rowOff>113957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901B90-C9AF-4EEF-8DFF-F07C10B506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1139" y="1828800"/>
          <a:ext cx="3782282" cy="168558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ayesh Bali" id="{B5BF753F-0A4F-459A-93BC-5E8737E328CD}" userId="Jayesh Bali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69" dT="2019-01-20T10:38:47.98" personId="{B5BF753F-0A4F-459A-93BC-5E8737E328CD}" id="{4EC0F7EB-AD17-4E9A-BF81-5F50C78F63D0}">
    <text>Assumptions based
https://www.forbes.com/sites/greatspeculations/2018/09/20/how-is-colgate-palmolive-likely-to-grow-in-the-next-two-years/#4ebfc91755d9
https://www.nasdaq.com/article/can-colgates-cl-growth-strategies-help-regain-momentum-cm983570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N15" dT="2019-01-21T07:14:43.59" personId="{B5BF753F-0A4F-459A-93BC-5E8737E328CD}" id="{7B04E9EA-1C77-4342-B9F2-9E650DD7B740}">
    <text>Keep constant as prev year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M17" dT="2019-01-21T06:39:00.92" personId="{B5BF753F-0A4F-459A-93BC-5E8737E328CD}" id="{CB6034DD-90F8-4502-9F45-A44245B89995}">
    <text>Taken from 10K - Break up pf PPE provided on pg 127</text>
  </threadedComment>
  <threadedComment ref="N38" dT="2019-01-21T06:58:13.46" personId="{B5BF753F-0A4F-459A-93BC-5E8737E328CD}" id="{EEF5322F-C117-45D7-B5E2-A2848B730C39}">
    <text>mid year convention for asset deployment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M14" dT="2019-01-21T07:25:02.42" personId="{B5BF753F-0A4F-459A-93BC-5E8737E328CD}" id="{DADF4DB4-F741-48F8-89C0-097DBD80EE40}">
    <text>Pg 98 - 10 K report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opLeftCell="A7" zoomScale="145" zoomScaleNormal="145" workbookViewId="0">
      <selection activeCell="C18" sqref="C18"/>
    </sheetView>
  </sheetViews>
  <sheetFormatPr defaultRowHeight="15" x14ac:dyDescent="0.25"/>
  <cols>
    <col min="1" max="16384" width="9.140625" style="301"/>
  </cols>
  <sheetData>
    <row r="1" spans="1:4" ht="31.5" x14ac:dyDescent="0.5">
      <c r="A1" s="307" t="s">
        <v>284</v>
      </c>
    </row>
    <row r="2" spans="1:4" ht="2.25" customHeight="1" x14ac:dyDescent="0.25"/>
    <row r="3" spans="1:4" x14ac:dyDescent="0.25">
      <c r="A3" s="302" t="s">
        <v>285</v>
      </c>
    </row>
    <row r="4" spans="1:4" x14ac:dyDescent="0.25">
      <c r="A4" s="302"/>
    </row>
    <row r="5" spans="1:4" x14ac:dyDescent="0.25">
      <c r="B5" s="303"/>
      <c r="C5" s="303"/>
      <c r="D5" s="303"/>
    </row>
    <row r="6" spans="1:4" x14ac:dyDescent="0.25">
      <c r="A6" s="304" t="s">
        <v>236</v>
      </c>
      <c r="C6" s="303"/>
      <c r="D6" s="303"/>
    </row>
    <row r="7" spans="1:4" x14ac:dyDescent="0.25">
      <c r="A7" s="303"/>
      <c r="B7" s="305" t="s">
        <v>237</v>
      </c>
      <c r="C7" s="303"/>
      <c r="D7" s="303"/>
    </row>
    <row r="8" spans="1:4" x14ac:dyDescent="0.25">
      <c r="B8" s="305" t="s">
        <v>238</v>
      </c>
    </row>
    <row r="9" spans="1:4" x14ac:dyDescent="0.25">
      <c r="B9" s="305" t="s">
        <v>239</v>
      </c>
    </row>
    <row r="10" spans="1:4" x14ac:dyDescent="0.25">
      <c r="B10" s="305" t="s">
        <v>286</v>
      </c>
    </row>
    <row r="11" spans="1:4" x14ac:dyDescent="0.25">
      <c r="B11" s="305" t="s">
        <v>240</v>
      </c>
    </row>
    <row r="12" spans="1:4" x14ac:dyDescent="0.25">
      <c r="B12" s="305" t="s">
        <v>241</v>
      </c>
    </row>
    <row r="13" spans="1:4" x14ac:dyDescent="0.25">
      <c r="B13" s="305" t="s">
        <v>242</v>
      </c>
    </row>
    <row r="14" spans="1:4" x14ac:dyDescent="0.25">
      <c r="B14" s="305" t="s">
        <v>243</v>
      </c>
    </row>
    <row r="15" spans="1:4" x14ac:dyDescent="0.25">
      <c r="B15" s="305" t="s">
        <v>244</v>
      </c>
    </row>
    <row r="16" spans="1:4" x14ac:dyDescent="0.25">
      <c r="B16" s="305" t="s">
        <v>245</v>
      </c>
    </row>
    <row r="17" spans="1:2" x14ac:dyDescent="0.25">
      <c r="B17" s="305" t="s">
        <v>161</v>
      </c>
    </row>
    <row r="19" spans="1:2" ht="18.75" x14ac:dyDescent="0.3">
      <c r="A19" s="306"/>
    </row>
  </sheetData>
  <hyperlinks>
    <hyperlink ref="B7" location="IS!A1" display="Income Statements" xr:uid="{00000000-0004-0000-0000-000000000000}"/>
    <hyperlink ref="B8" location="BS!A1" display="Balance Sheet" xr:uid="{00000000-0004-0000-0000-000001000000}"/>
    <hyperlink ref="B9" location="CF!A1" display="Cash Flows" xr:uid="{00000000-0004-0000-0000-000002000000}"/>
    <hyperlink ref="B11" location="'Dep Capex '!A1" display="Depreciation Schedule" xr:uid="{00000000-0004-0000-0000-000003000000}"/>
    <hyperlink ref="B12" location="'Amort Intangible'!A1" display="Amortization Schedule" xr:uid="{00000000-0004-0000-0000-000004000000}"/>
    <hyperlink ref="B13" location="'Working Capital'!A1" display="Working Capital Schedule" xr:uid="{00000000-0004-0000-0000-000005000000}"/>
    <hyperlink ref="B14" location="'Other Long Term Asset Liability'!A1" display="Other Long Term Schedule" xr:uid="{00000000-0004-0000-0000-000006000000}"/>
    <hyperlink ref="B15" location="'Shareholders Equity'!A1" display="Shareholder's Equity Schedule" xr:uid="{00000000-0004-0000-0000-000007000000}"/>
    <hyperlink ref="B16" location="'Shares Outstanding '!A1" display="Shares Outstanding Schedule" xr:uid="{00000000-0004-0000-0000-000008000000}"/>
    <hyperlink ref="B17" location="Debt!A1" display="Debt Schedule" xr:uid="{00000000-0004-0000-0000-000009000000}"/>
    <hyperlink ref="B10" location="Ratios!A1" display="Financial Ratios" xr:uid="{F5935208-6037-49A3-AAFB-869F474DEDB8}"/>
  </hyperlink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3"/>
  <sheetViews>
    <sheetView tabSelected="1" zoomScale="80" zoomScaleNormal="80" workbookViewId="0">
      <pane xSplit="2" ySplit="5" topLeftCell="I27" activePane="bottomRight" state="frozen"/>
      <selection pane="topRight" activeCell="C1" sqref="C1"/>
      <selection pane="bottomLeft" activeCell="A6" sqref="A6"/>
      <selection pane="bottomRight" activeCell="N13" sqref="N13"/>
    </sheetView>
  </sheetViews>
  <sheetFormatPr defaultRowHeight="14.25" x14ac:dyDescent="0.2"/>
  <cols>
    <col min="1" max="1" width="2.85546875" style="23" customWidth="1"/>
    <col min="2" max="2" width="58.85546875" style="23" bestFit="1" customWidth="1"/>
    <col min="3" max="8" width="11.7109375" style="23" hidden="1" customWidth="1"/>
    <col min="9" max="9" width="13.7109375" style="23" bestFit="1" customWidth="1"/>
    <col min="10" max="10" width="11.7109375" style="23" bestFit="1" customWidth="1"/>
    <col min="11" max="11" width="11.28515625" style="23" bestFit="1" customWidth="1"/>
    <col min="12" max="13" width="10.7109375" style="23" bestFit="1" customWidth="1"/>
    <col min="14" max="18" width="10.85546875" style="23" bestFit="1" customWidth="1"/>
    <col min="19" max="16384" width="9.140625" style="23"/>
  </cols>
  <sheetData>
    <row r="1" spans="1:18" ht="23.25" x14ac:dyDescent="0.35">
      <c r="A1" s="22" t="s">
        <v>0</v>
      </c>
    </row>
    <row r="3" spans="1:18" ht="15.75" x14ac:dyDescent="0.25">
      <c r="A3" s="173" t="s">
        <v>16</v>
      </c>
    </row>
    <row r="4" spans="1:18" ht="15.75" x14ac:dyDescent="0.25">
      <c r="B4" s="33"/>
    </row>
    <row r="5" spans="1:18" ht="15.75" thickBot="1" x14ac:dyDescent="0.3">
      <c r="B5" s="2" t="s">
        <v>17</v>
      </c>
      <c r="C5" s="61">
        <v>39447</v>
      </c>
      <c r="D5" s="61">
        <f>EOMONTH(C5,12)</f>
        <v>39813</v>
      </c>
      <c r="E5" s="61">
        <f t="shared" ref="E5:M5" si="0">EOMONTH(D5,12)</f>
        <v>40178</v>
      </c>
      <c r="F5" s="61">
        <f t="shared" si="0"/>
        <v>40543</v>
      </c>
      <c r="G5" s="61">
        <f t="shared" si="0"/>
        <v>40908</v>
      </c>
      <c r="H5" s="61">
        <f t="shared" si="0"/>
        <v>41274</v>
      </c>
      <c r="I5" s="61">
        <f>EOMONTH(H5,12)</f>
        <v>41639</v>
      </c>
      <c r="J5" s="61">
        <f t="shared" si="0"/>
        <v>42004</v>
      </c>
      <c r="K5" s="61">
        <f t="shared" si="0"/>
        <v>42369</v>
      </c>
      <c r="L5" s="61">
        <f t="shared" si="0"/>
        <v>42735</v>
      </c>
      <c r="M5" s="61">
        <f t="shared" si="0"/>
        <v>43100</v>
      </c>
      <c r="N5" s="335">
        <f>EOMONTH(M5,12)</f>
        <v>43465</v>
      </c>
      <c r="O5" s="335">
        <f>EOMONTH(N5,12)</f>
        <v>43830</v>
      </c>
      <c r="P5" s="335">
        <f>EOMONTH(O5,12)</f>
        <v>44196</v>
      </c>
      <c r="Q5" s="335">
        <f>EOMONTH(P5,12)</f>
        <v>44561</v>
      </c>
      <c r="R5" s="335">
        <f>EOMONTH(Q5,12)</f>
        <v>44926</v>
      </c>
    </row>
    <row r="6" spans="1:18" x14ac:dyDescent="0.2">
      <c r="B6" s="3" t="s">
        <v>1</v>
      </c>
      <c r="C6" s="17">
        <v>13790</v>
      </c>
      <c r="D6" s="17">
        <v>15330</v>
      </c>
      <c r="E6" s="17">
        <v>15327</v>
      </c>
      <c r="F6" s="17">
        <v>15564</v>
      </c>
      <c r="G6" s="17">
        <v>16734</v>
      </c>
      <c r="H6" s="17">
        <v>17085</v>
      </c>
      <c r="I6" s="17">
        <v>17420</v>
      </c>
      <c r="J6" s="17">
        <v>17277</v>
      </c>
      <c r="K6" s="17">
        <v>16034</v>
      </c>
      <c r="L6" s="17">
        <v>15195</v>
      </c>
      <c r="M6" s="17">
        <v>15454</v>
      </c>
      <c r="N6" s="343">
        <f>N90</f>
        <v>15813.322136768955</v>
      </c>
      <c r="O6" s="343">
        <f>O90</f>
        <v>16185.715913757487</v>
      </c>
      <c r="P6" s="343">
        <f>P90</f>
        <v>16571.756567922952</v>
      </c>
      <c r="Q6" s="343">
        <f>Q90</f>
        <v>16972.046921899218</v>
      </c>
      <c r="R6" s="343">
        <f>R90</f>
        <v>17387.218767622257</v>
      </c>
    </row>
    <row r="7" spans="1:18" x14ac:dyDescent="0.2">
      <c r="B7" s="3" t="s">
        <v>2</v>
      </c>
      <c r="C7" s="18">
        <v>6043</v>
      </c>
      <c r="D7" s="18">
        <v>6704</v>
      </c>
      <c r="E7" s="19">
        <v>6319</v>
      </c>
      <c r="F7" s="18">
        <v>6360</v>
      </c>
      <c r="G7" s="18">
        <v>7144</v>
      </c>
      <c r="H7" s="18">
        <v>7153</v>
      </c>
      <c r="I7" s="18">
        <v>7219</v>
      </c>
      <c r="J7" s="18">
        <v>7168</v>
      </c>
      <c r="K7" s="18">
        <v>6635</v>
      </c>
      <c r="L7" s="18">
        <v>6072</v>
      </c>
      <c r="M7" s="18">
        <v>6174</v>
      </c>
      <c r="N7" s="189">
        <f>N6*N31</f>
        <v>6560.7393110123212</v>
      </c>
      <c r="O7" s="189">
        <f>O6*O31</f>
        <v>6715.2405897906856</v>
      </c>
      <c r="P7" s="189">
        <f>P6*P31</f>
        <v>6875.4037783684507</v>
      </c>
      <c r="Q7" s="189">
        <f>Q6*Q31</f>
        <v>7041.4789799255423</v>
      </c>
      <c r="R7" s="189">
        <f>R6*R31</f>
        <v>7213.7283166242014</v>
      </c>
    </row>
    <row r="8" spans="1:18" x14ac:dyDescent="0.2">
      <c r="B8" s="4" t="s">
        <v>3</v>
      </c>
      <c r="C8" s="8">
        <f>C6-C7</f>
        <v>7747</v>
      </c>
      <c r="D8" s="8">
        <f>D6-D7</f>
        <v>8626</v>
      </c>
      <c r="E8" s="8">
        <f>E6-E7</f>
        <v>9008</v>
      </c>
      <c r="F8" s="8">
        <f>F6-F7</f>
        <v>9204</v>
      </c>
      <c r="G8" s="8">
        <f>G6-G7</f>
        <v>9590</v>
      </c>
      <c r="H8" s="8">
        <v>9932</v>
      </c>
      <c r="I8" s="8">
        <f t="shared" ref="I8:R8" si="1">I6-I7</f>
        <v>10201</v>
      </c>
      <c r="J8" s="8">
        <f t="shared" si="1"/>
        <v>10109</v>
      </c>
      <c r="K8" s="8">
        <f t="shared" si="1"/>
        <v>9399</v>
      </c>
      <c r="L8" s="8">
        <f t="shared" si="1"/>
        <v>9123</v>
      </c>
      <c r="M8" s="8">
        <f t="shared" si="1"/>
        <v>9280</v>
      </c>
      <c r="N8" s="8">
        <f t="shared" si="1"/>
        <v>9252.5828257566336</v>
      </c>
      <c r="O8" s="8">
        <f t="shared" si="1"/>
        <v>9470.4753239668025</v>
      </c>
      <c r="P8" s="8">
        <f t="shared" si="1"/>
        <v>9696.3527895545012</v>
      </c>
      <c r="Q8" s="8">
        <f t="shared" si="1"/>
        <v>9930.5679419736771</v>
      </c>
      <c r="R8" s="8">
        <f t="shared" si="1"/>
        <v>10173.490450998055</v>
      </c>
    </row>
    <row r="9" spans="1:18" x14ac:dyDescent="0.2">
      <c r="B9" s="3"/>
      <c r="C9" s="9"/>
      <c r="D9" s="9"/>
      <c r="E9" s="13"/>
      <c r="F9" s="9"/>
      <c r="G9" s="9"/>
      <c r="H9" s="9"/>
      <c r="I9" s="9"/>
      <c r="J9" s="9"/>
      <c r="K9" s="9"/>
      <c r="L9" s="9"/>
      <c r="M9" s="9"/>
      <c r="N9" s="3"/>
      <c r="O9" s="3"/>
      <c r="P9" s="3"/>
      <c r="Q9" s="3"/>
      <c r="R9" s="3"/>
    </row>
    <row r="10" spans="1:18" x14ac:dyDescent="0.2">
      <c r="B10" s="3" t="s">
        <v>4</v>
      </c>
      <c r="C10" s="17">
        <v>4973</v>
      </c>
      <c r="D10" s="17">
        <v>5422</v>
      </c>
      <c r="E10" s="20">
        <v>5282</v>
      </c>
      <c r="F10" s="17">
        <v>5414</v>
      </c>
      <c r="G10" s="17">
        <v>5758</v>
      </c>
      <c r="H10" s="17">
        <v>5930</v>
      </c>
      <c r="I10" s="17">
        <v>6223</v>
      </c>
      <c r="J10" s="17">
        <v>5982</v>
      </c>
      <c r="K10" s="17">
        <v>5464</v>
      </c>
      <c r="L10" s="17">
        <v>5249</v>
      </c>
      <c r="M10" s="17">
        <v>5497</v>
      </c>
      <c r="N10" s="9">
        <f>N34*N6</f>
        <v>5534.6627478691335</v>
      </c>
      <c r="O10" s="9">
        <f>O34*O6</f>
        <v>5665.0005698151199</v>
      </c>
      <c r="P10" s="9">
        <f>P34*P6</f>
        <v>5800.1147987730328</v>
      </c>
      <c r="Q10" s="9">
        <f>Q34*Q6</f>
        <v>5940.2164226647265</v>
      </c>
      <c r="R10" s="9">
        <f>R34*R6</f>
        <v>6085.5265686677894</v>
      </c>
    </row>
    <row r="11" spans="1:18" x14ac:dyDescent="0.2">
      <c r="B11" s="3" t="s">
        <v>5</v>
      </c>
      <c r="C11" s="18">
        <v>54</v>
      </c>
      <c r="D11" s="18">
        <v>103</v>
      </c>
      <c r="E11" s="19">
        <v>111</v>
      </c>
      <c r="F11" s="17">
        <v>301</v>
      </c>
      <c r="G11" s="17">
        <v>-9</v>
      </c>
      <c r="H11" s="17">
        <v>113</v>
      </c>
      <c r="I11" s="17">
        <f>422+422</f>
        <v>844</v>
      </c>
      <c r="J11" s="17">
        <f>570+570</f>
        <v>1140</v>
      </c>
      <c r="K11" s="17">
        <f>62+1084</f>
        <v>1146</v>
      </c>
      <c r="L11" s="17">
        <v>37</v>
      </c>
      <c r="M11" s="17">
        <v>194</v>
      </c>
      <c r="N11" s="9">
        <f>N35*N6</f>
        <v>198.51070884775316</v>
      </c>
      <c r="O11" s="9">
        <f>O35*O6</f>
        <v>203.18551101779167</v>
      </c>
      <c r="P11" s="9">
        <f>P35*P6</f>
        <v>208.03162768066861</v>
      </c>
      <c r="Q11" s="9">
        <f>Q35*Q6</f>
        <v>213.05662630053374</v>
      </c>
      <c r="R11" s="9">
        <f>R35*R6</f>
        <v>218.26843800431718</v>
      </c>
    </row>
    <row r="12" spans="1:18" ht="15" x14ac:dyDescent="0.25">
      <c r="B12" s="39" t="s">
        <v>205</v>
      </c>
      <c r="C12" s="10">
        <f>C8-C10-C11</f>
        <v>2720</v>
      </c>
      <c r="D12" s="10">
        <f>D8-D10-D11</f>
        <v>3101</v>
      </c>
      <c r="E12" s="10">
        <f>E8-E10-E11</f>
        <v>3615</v>
      </c>
      <c r="F12" s="10">
        <f>F8-F10-F11</f>
        <v>3489</v>
      </c>
      <c r="G12" s="10">
        <f>G8-G10-G11</f>
        <v>3841</v>
      </c>
      <c r="H12" s="10">
        <v>3889</v>
      </c>
      <c r="I12" s="10">
        <v>3556</v>
      </c>
      <c r="J12" s="10">
        <v>3557</v>
      </c>
      <c r="K12" s="10">
        <v>2789</v>
      </c>
      <c r="L12" s="10">
        <v>3837</v>
      </c>
      <c r="M12" s="10">
        <v>3589</v>
      </c>
      <c r="N12" s="10">
        <f>N36*N6</f>
        <v>3519.4093690397481</v>
      </c>
      <c r="O12" s="10">
        <f>O36*O6</f>
        <v>3602.2892431338914</v>
      </c>
      <c r="P12" s="10">
        <f>P36*P6</f>
        <v>3688.2063631008014</v>
      </c>
      <c r="Q12" s="10">
        <f>Q36*Q6</f>
        <v>3777.2948930084171</v>
      </c>
      <c r="R12" s="10">
        <f>R36*R6</f>
        <v>3869.6954443259492</v>
      </c>
    </row>
    <row r="13" spans="1:18" x14ac:dyDescent="0.2">
      <c r="B13" s="3" t="s">
        <v>7</v>
      </c>
      <c r="C13" s="18">
        <v>157</v>
      </c>
      <c r="D13" s="18">
        <v>96</v>
      </c>
      <c r="E13" s="19">
        <v>77</v>
      </c>
      <c r="F13" s="18">
        <v>59</v>
      </c>
      <c r="G13" s="18">
        <v>52</v>
      </c>
      <c r="H13" s="18">
        <v>15</v>
      </c>
      <c r="I13" s="18">
        <v>-9</v>
      </c>
      <c r="J13" s="18">
        <v>24</v>
      </c>
      <c r="K13" s="18">
        <v>26</v>
      </c>
      <c r="L13" s="18">
        <v>99</v>
      </c>
      <c r="M13" s="18">
        <v>102</v>
      </c>
      <c r="N13" s="189">
        <f ca="1">Debt!K42+Debt!K47</f>
        <v>137.18774853072102</v>
      </c>
      <c r="O13" s="189">
        <f ca="1">Debt!L42+Debt!L47</f>
        <v>119.70631512074053</v>
      </c>
      <c r="P13" s="189">
        <f ca="1">Debt!M42+Debt!M47</f>
        <v>122.77455786496174</v>
      </c>
      <c r="Q13" s="189">
        <f ca="1">Debt!N42+Debt!N47</f>
        <v>129.37476624048676</v>
      </c>
      <c r="R13" s="189">
        <f ca="1">Debt!O42+Debt!O47</f>
        <v>128.59208317662265</v>
      </c>
    </row>
    <row r="14" spans="1:18" x14ac:dyDescent="0.2">
      <c r="B14" s="3"/>
      <c r="C14" s="11"/>
      <c r="D14" s="11"/>
      <c r="E14" s="13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1:18" ht="15" x14ac:dyDescent="0.25">
      <c r="B15" s="39" t="s">
        <v>206</v>
      </c>
      <c r="C15" s="9">
        <f>C12-C13</f>
        <v>2563</v>
      </c>
      <c r="D15" s="9">
        <f>D12-D13</f>
        <v>3005</v>
      </c>
      <c r="E15" s="9">
        <f>E12-E13</f>
        <v>3538</v>
      </c>
      <c r="F15" s="9">
        <f>F12-F13</f>
        <v>3430</v>
      </c>
      <c r="G15" s="9">
        <f>G12-G13</f>
        <v>3789</v>
      </c>
      <c r="H15" s="9">
        <v>3874</v>
      </c>
      <c r="I15" s="9">
        <f>I12-I13</f>
        <v>3565</v>
      </c>
      <c r="J15" s="9">
        <f>J12-J13</f>
        <v>3533</v>
      </c>
      <c r="K15" s="9">
        <f>K12-K13</f>
        <v>2763</v>
      </c>
      <c r="L15" s="9">
        <v>3738</v>
      </c>
      <c r="M15" s="9">
        <v>3487</v>
      </c>
      <c r="N15" s="9">
        <f ca="1">N12-N13</f>
        <v>3382.2216205090272</v>
      </c>
      <c r="O15" s="9">
        <f ca="1">O12-O13</f>
        <v>3482.5829280131511</v>
      </c>
      <c r="P15" s="9">
        <f ca="1">P12-P13</f>
        <v>3565.4318052358394</v>
      </c>
      <c r="Q15" s="9">
        <f ca="1">Q12-Q13</f>
        <v>3647.9201267679305</v>
      </c>
      <c r="R15" s="9">
        <f ca="1">R12-R13</f>
        <v>3741.1033611493267</v>
      </c>
    </row>
    <row r="16" spans="1:18" x14ac:dyDescent="0.2">
      <c r="B16" s="3" t="s">
        <v>9</v>
      </c>
      <c r="C16" s="18">
        <v>759</v>
      </c>
      <c r="D16" s="18">
        <v>968</v>
      </c>
      <c r="E16" s="19">
        <v>1141</v>
      </c>
      <c r="F16" s="17">
        <v>1117</v>
      </c>
      <c r="G16" s="17">
        <v>1235</v>
      </c>
      <c r="H16" s="17">
        <v>1243</v>
      </c>
      <c r="I16" s="17">
        <v>1155</v>
      </c>
      <c r="J16" s="17">
        <v>1194</v>
      </c>
      <c r="K16" s="17">
        <v>1215</v>
      </c>
      <c r="L16" s="17">
        <v>1152</v>
      </c>
      <c r="M16" s="17">
        <v>1313</v>
      </c>
      <c r="N16" s="9">
        <f>N40*N6</f>
        <v>1343.5286634902054</v>
      </c>
      <c r="O16" s="9">
        <f>O40*O6</f>
        <v>1375.1679173523735</v>
      </c>
      <c r="P16" s="9">
        <f>P40*P6</f>
        <v>1407.9666347665868</v>
      </c>
      <c r="Q16" s="9">
        <f>Q40*Q6</f>
        <v>1441.976032642272</v>
      </c>
      <c r="R16" s="9">
        <f>R40*R6</f>
        <v>1477.2497891735486</v>
      </c>
    </row>
    <row r="17" spans="1:18" x14ac:dyDescent="0.2">
      <c r="B17" s="5" t="s">
        <v>10</v>
      </c>
      <c r="C17" s="12">
        <f>C15-C16</f>
        <v>1804</v>
      </c>
      <c r="D17" s="12">
        <f>D15-D16</f>
        <v>2037</v>
      </c>
      <c r="E17" s="12">
        <f>E15-E16</f>
        <v>2397</v>
      </c>
      <c r="F17" s="12">
        <f>F15-F16</f>
        <v>2313</v>
      </c>
      <c r="G17" s="12">
        <f>G15-G16</f>
        <v>2554</v>
      </c>
      <c r="H17" s="12">
        <v>2631</v>
      </c>
      <c r="I17" s="12">
        <f>I15-I16</f>
        <v>2410</v>
      </c>
      <c r="J17" s="12">
        <f>J15-J16</f>
        <v>2339</v>
      </c>
      <c r="K17" s="12">
        <f>K15-K16</f>
        <v>1548</v>
      </c>
      <c r="L17" s="12">
        <v>2586</v>
      </c>
      <c r="M17" s="12">
        <v>2174</v>
      </c>
      <c r="N17" s="12">
        <f ca="1">N15-N16</f>
        <v>2038.6929570188217</v>
      </c>
      <c r="O17" s="12">
        <f ca="1">O15-O16</f>
        <v>2107.4150106607776</v>
      </c>
      <c r="P17" s="12">
        <f ca="1">P15-P16</f>
        <v>2157.4651704692524</v>
      </c>
      <c r="Q17" s="12">
        <f ca="1">Q15-Q16</f>
        <v>2205.9440941256585</v>
      </c>
      <c r="R17" s="12">
        <f ca="1">R15-R16</f>
        <v>2263.8535719757783</v>
      </c>
    </row>
    <row r="18" spans="1:18" x14ac:dyDescent="0.2">
      <c r="B18" s="6" t="s">
        <v>11</v>
      </c>
      <c r="C18" s="18">
        <v>67</v>
      </c>
      <c r="D18" s="18">
        <v>80</v>
      </c>
      <c r="E18" s="19">
        <v>106</v>
      </c>
      <c r="F18" s="21">
        <v>110</v>
      </c>
      <c r="G18" s="21">
        <v>123</v>
      </c>
      <c r="H18" s="21">
        <v>159</v>
      </c>
      <c r="I18" s="21">
        <v>169</v>
      </c>
      <c r="J18" s="21">
        <v>159</v>
      </c>
      <c r="K18" s="21">
        <v>164</v>
      </c>
      <c r="L18" s="21">
        <v>145</v>
      </c>
      <c r="M18" s="21">
        <v>150</v>
      </c>
      <c r="N18" s="194">
        <f>N42*N6</f>
        <v>153.4876614802215</v>
      </c>
      <c r="O18" s="194">
        <f>O42*O6</f>
        <v>157.10219924056057</v>
      </c>
      <c r="P18" s="194">
        <f>P42*P6</f>
        <v>160.84919666031078</v>
      </c>
      <c r="Q18" s="194">
        <f>Q42*Q6</f>
        <v>164.7345048715467</v>
      </c>
      <c r="R18" s="194">
        <f>R42*R6</f>
        <v>168.76425618890505</v>
      </c>
    </row>
    <row r="19" spans="1:18" x14ac:dyDescent="0.2">
      <c r="B19" s="5" t="s">
        <v>12</v>
      </c>
      <c r="C19" s="15">
        <f>C17-C18</f>
        <v>1737</v>
      </c>
      <c r="D19" s="15">
        <f>D17-D18</f>
        <v>1957</v>
      </c>
      <c r="E19" s="9">
        <f>E17-E18</f>
        <v>2291</v>
      </c>
      <c r="F19" s="9">
        <f>F17-F18</f>
        <v>2203</v>
      </c>
      <c r="G19" s="9">
        <f>G17-G18</f>
        <v>2431</v>
      </c>
      <c r="H19" s="9">
        <v>2472</v>
      </c>
      <c r="I19" s="9">
        <v>2241</v>
      </c>
      <c r="J19" s="9">
        <v>2180</v>
      </c>
      <c r="K19" s="9">
        <v>1384</v>
      </c>
      <c r="L19" s="9">
        <v>2441</v>
      </c>
      <c r="M19" s="9">
        <v>2024</v>
      </c>
      <c r="N19" s="9">
        <f ca="1">N17-N18</f>
        <v>1885.2052955386002</v>
      </c>
      <c r="O19" s="9">
        <f ca="1">O17-O18</f>
        <v>1950.312811420217</v>
      </c>
      <c r="P19" s="9">
        <f ca="1">P17-P18</f>
        <v>1996.6159738089416</v>
      </c>
      <c r="Q19" s="9">
        <f ca="1">Q17-Q18</f>
        <v>2041.2095892541117</v>
      </c>
      <c r="R19" s="9">
        <f ca="1">R17-R18</f>
        <v>2095.0893157868732</v>
      </c>
    </row>
    <row r="20" spans="1:18" x14ac:dyDescent="0.2">
      <c r="B20" s="3" t="s">
        <v>13</v>
      </c>
      <c r="C20" s="234">
        <f>3.35/2</f>
        <v>1.675</v>
      </c>
      <c r="D20" s="234">
        <f>3.81/2</f>
        <v>1.905</v>
      </c>
      <c r="E20" s="210">
        <f>4.53/2</f>
        <v>2.2650000000000001</v>
      </c>
      <c r="F20" s="210">
        <f>4.45/2</f>
        <v>2.2250000000000001</v>
      </c>
      <c r="G20" s="81">
        <v>2.4900000000000002</v>
      </c>
      <c r="H20" s="81">
        <v>5.19</v>
      </c>
      <c r="I20" s="81">
        <v>2.41</v>
      </c>
      <c r="J20" s="81">
        <v>2.38</v>
      </c>
      <c r="K20" s="81">
        <v>1.53</v>
      </c>
      <c r="L20" s="81">
        <v>2.74</v>
      </c>
      <c r="M20" s="81">
        <v>2.2999999999999998</v>
      </c>
      <c r="N20" s="210">
        <f ca="1">N19/N23</f>
        <v>2.137905755884101</v>
      </c>
      <c r="O20" s="210">
        <f ca="1">O19/O23</f>
        <v>2.2117405436836211</v>
      </c>
      <c r="P20" s="210">
        <f ca="1">P19/P23</f>
        <v>2.2642503672135876</v>
      </c>
      <c r="Q20" s="210">
        <f ca="1">Q19/Q23</f>
        <v>2.3148214892879473</v>
      </c>
      <c r="R20" s="210">
        <f ca="1">R19/R23</f>
        <v>2.3759234699329479</v>
      </c>
    </row>
    <row r="21" spans="1:18" ht="15" thickBot="1" x14ac:dyDescent="0.25">
      <c r="B21" s="7" t="s">
        <v>14</v>
      </c>
      <c r="C21" s="211">
        <f>3.2/2</f>
        <v>1.6</v>
      </c>
      <c r="D21" s="211">
        <f>3.66/2</f>
        <v>1.83</v>
      </c>
      <c r="E21" s="211">
        <f>4.37/2</f>
        <v>2.1850000000000001</v>
      </c>
      <c r="F21" s="211">
        <f>4.31/2</f>
        <v>2.1549999999999998</v>
      </c>
      <c r="G21" s="82">
        <v>2.4700000000000002</v>
      </c>
      <c r="H21" s="82">
        <v>5.15</v>
      </c>
      <c r="I21" s="82">
        <v>2.38</v>
      </c>
      <c r="J21" s="82">
        <v>2.36</v>
      </c>
      <c r="K21" s="82">
        <v>1.52</v>
      </c>
      <c r="L21" s="82">
        <v>2.72</v>
      </c>
      <c r="M21" s="82">
        <v>2.2799999999999998</v>
      </c>
      <c r="N21" s="344">
        <f ca="1">N19/N24</f>
        <v>2.1234571925417889</v>
      </c>
      <c r="O21" s="344">
        <f ca="1">O19/O24</f>
        <v>2.1967929842534546</v>
      </c>
      <c r="P21" s="344">
        <f ca="1">P19/P24</f>
        <v>2.2489479317514549</v>
      </c>
      <c r="Q21" s="344">
        <f ca="1">Q19/Q24</f>
        <v>2.2991772800789727</v>
      </c>
      <c r="R21" s="344">
        <f ca="1">R19/R24</f>
        <v>2.3598663164979423</v>
      </c>
    </row>
    <row r="22" spans="1:18" s="225" customFormat="1" ht="15" x14ac:dyDescent="0.25">
      <c r="B22" s="229"/>
      <c r="C22" s="231"/>
      <c r="D22" s="231"/>
      <c r="E22" s="231"/>
      <c r="F22" s="231"/>
      <c r="G22" s="230"/>
      <c r="H22" s="263"/>
      <c r="I22" s="230"/>
      <c r="J22" s="231"/>
      <c r="K22" s="233"/>
      <c r="L22" s="233"/>
      <c r="M22" s="233"/>
      <c r="N22" s="231"/>
      <c r="Q22" s="232"/>
    </row>
    <row r="23" spans="1:18" s="225" customFormat="1" x14ac:dyDescent="0.2">
      <c r="B23" s="229" t="s">
        <v>159</v>
      </c>
      <c r="C23" s="235"/>
      <c r="D23" s="235"/>
      <c r="E23" s="235"/>
      <c r="F23" s="235"/>
      <c r="G23" s="262"/>
      <c r="I23" s="9">
        <v>930.8</v>
      </c>
      <c r="J23" s="9">
        <v>915.1</v>
      </c>
      <c r="K23" s="9">
        <v>902.2</v>
      </c>
      <c r="L23" s="9">
        <v>891.8</v>
      </c>
      <c r="M23" s="9">
        <v>881.8</v>
      </c>
      <c r="N23" s="233">
        <f>$M$23</f>
        <v>881.8</v>
      </c>
      <c r="O23" s="233">
        <f>$M$23</f>
        <v>881.8</v>
      </c>
      <c r="P23" s="233">
        <f>$M$23</f>
        <v>881.8</v>
      </c>
      <c r="Q23" s="233">
        <f>$M$23</f>
        <v>881.8</v>
      </c>
      <c r="R23" s="233">
        <f>$M$23</f>
        <v>881.8</v>
      </c>
    </row>
    <row r="24" spans="1:18" x14ac:dyDescent="0.2">
      <c r="B24" s="3" t="s">
        <v>160</v>
      </c>
      <c r="C24" s="236"/>
      <c r="D24" s="236"/>
      <c r="E24" s="236"/>
      <c r="F24" s="236"/>
      <c r="G24" s="263"/>
      <c r="I24" s="9">
        <v>939.9</v>
      </c>
      <c r="J24" s="9">
        <v>924.3</v>
      </c>
      <c r="K24" s="9">
        <v>909.7</v>
      </c>
      <c r="L24" s="9">
        <v>898.4</v>
      </c>
      <c r="M24" s="9">
        <v>887.8</v>
      </c>
      <c r="N24" s="233">
        <f>$M$24</f>
        <v>887.8</v>
      </c>
      <c r="O24" s="233">
        <f>$M$24</f>
        <v>887.8</v>
      </c>
      <c r="P24" s="233">
        <f>$M$24</f>
        <v>887.8</v>
      </c>
      <c r="Q24" s="233">
        <f>$M$24</f>
        <v>887.8</v>
      </c>
      <c r="R24" s="233">
        <f>$M$24</f>
        <v>887.8</v>
      </c>
    </row>
    <row r="25" spans="1:18" x14ac:dyDescent="0.2">
      <c r="B25" s="3"/>
      <c r="G25" s="217"/>
      <c r="I25" s="217"/>
      <c r="J25" s="217"/>
      <c r="K25" s="217"/>
      <c r="L25" s="308"/>
      <c r="M25" s="309"/>
      <c r="N25" s="217"/>
    </row>
    <row r="26" spans="1:18" s="225" customFormat="1" ht="15" x14ac:dyDescent="0.25">
      <c r="B26" s="39" t="s">
        <v>228</v>
      </c>
      <c r="C26" s="236"/>
      <c r="D26" s="236"/>
      <c r="E26" s="236"/>
      <c r="F26" s="226"/>
      <c r="G26" s="226"/>
      <c r="H26" s="226"/>
      <c r="I26" s="226"/>
      <c r="J26" s="226"/>
      <c r="K26" s="226"/>
      <c r="N26" s="226"/>
    </row>
    <row r="27" spans="1:18" s="225" customFormat="1" x14ac:dyDescent="0.2">
      <c r="B27" s="3"/>
    </row>
    <row r="28" spans="1:18" x14ac:dyDescent="0.2">
      <c r="B28" s="3" t="s">
        <v>15</v>
      </c>
    </row>
    <row r="29" spans="1:18" ht="15.75" thickBot="1" x14ac:dyDescent="0.3">
      <c r="A29" s="172" t="s">
        <v>18</v>
      </c>
      <c r="C29" s="14">
        <f>C5</f>
        <v>39447</v>
      </c>
      <c r="D29" s="14">
        <f t="shared" ref="D29:N29" si="2">D5</f>
        <v>39813</v>
      </c>
      <c r="E29" s="14">
        <f t="shared" si="2"/>
        <v>40178</v>
      </c>
      <c r="F29" s="14">
        <f t="shared" si="2"/>
        <v>40543</v>
      </c>
      <c r="G29" s="14">
        <f t="shared" si="2"/>
        <v>40908</v>
      </c>
      <c r="H29" s="14">
        <f t="shared" si="2"/>
        <v>41274</v>
      </c>
      <c r="I29" s="14">
        <f t="shared" si="2"/>
        <v>41639</v>
      </c>
      <c r="J29" s="14">
        <f t="shared" si="2"/>
        <v>42004</v>
      </c>
      <c r="K29" s="14">
        <f t="shared" si="2"/>
        <v>42369</v>
      </c>
      <c r="L29" s="14">
        <f t="shared" si="2"/>
        <v>42735</v>
      </c>
      <c r="M29" s="14">
        <f t="shared" si="2"/>
        <v>43100</v>
      </c>
      <c r="N29" s="14">
        <f t="shared" si="2"/>
        <v>43465</v>
      </c>
    </row>
    <row r="30" spans="1:18" x14ac:dyDescent="0.2">
      <c r="B30" s="3" t="s">
        <v>1</v>
      </c>
      <c r="C30" s="26">
        <f t="shared" ref="C30:E32" si="3">C6/C$6</f>
        <v>1</v>
      </c>
      <c r="D30" s="26">
        <f t="shared" si="3"/>
        <v>1</v>
      </c>
      <c r="E30" s="26">
        <f t="shared" si="3"/>
        <v>1</v>
      </c>
      <c r="F30" s="26"/>
      <c r="G30" s="26"/>
      <c r="H30" s="26"/>
      <c r="I30" s="317">
        <f>I6/I6</f>
        <v>1</v>
      </c>
      <c r="J30" s="317">
        <f>J6/J6</f>
        <v>1</v>
      </c>
      <c r="K30" s="317">
        <f>K6/K6</f>
        <v>1</v>
      </c>
      <c r="L30" s="317">
        <f>L6/L6</f>
        <v>1</v>
      </c>
      <c r="M30" s="317">
        <f>M6/M6</f>
        <v>1</v>
      </c>
      <c r="N30" s="317">
        <f>$M$30</f>
        <v>1</v>
      </c>
      <c r="O30" s="317">
        <f>$M$30</f>
        <v>1</v>
      </c>
      <c r="P30" s="317">
        <f>$M$30</f>
        <v>1</v>
      </c>
      <c r="Q30" s="317">
        <f>$M$30</f>
        <v>1</v>
      </c>
      <c r="R30" s="317">
        <f>$M$30</f>
        <v>1</v>
      </c>
    </row>
    <row r="31" spans="1:18" x14ac:dyDescent="0.2">
      <c r="B31" s="3" t="s">
        <v>2</v>
      </c>
      <c r="C31" s="32">
        <f t="shared" si="3"/>
        <v>0.43821609862219002</v>
      </c>
      <c r="D31" s="32">
        <f t="shared" si="3"/>
        <v>0.43731245923026746</v>
      </c>
      <c r="E31" s="32">
        <f t="shared" si="3"/>
        <v>0.41227898479806879</v>
      </c>
      <c r="F31" s="32"/>
      <c r="G31" s="32"/>
      <c r="H31" s="32"/>
      <c r="I31" s="318">
        <f>I7/I6</f>
        <v>0.41440872560275543</v>
      </c>
      <c r="J31" s="318">
        <f>J7/J6</f>
        <v>0.41488684378074897</v>
      </c>
      <c r="K31" s="318">
        <f>K7/K6</f>
        <v>0.41380815766496193</v>
      </c>
      <c r="L31" s="318">
        <f>L7/L6</f>
        <v>0.39960513326752223</v>
      </c>
      <c r="M31" s="318">
        <f>M7/M6</f>
        <v>0.39950821793710367</v>
      </c>
      <c r="N31" s="190">
        <f>$J$31</f>
        <v>0.41488684378074897</v>
      </c>
      <c r="O31" s="190">
        <f>$J$31</f>
        <v>0.41488684378074897</v>
      </c>
      <c r="P31" s="190">
        <f>$J$31</f>
        <v>0.41488684378074897</v>
      </c>
      <c r="Q31" s="190">
        <f>$J$31</f>
        <v>0.41488684378074897</v>
      </c>
      <c r="R31" s="190">
        <f>$J$31</f>
        <v>0.41488684378074897</v>
      </c>
    </row>
    <row r="32" spans="1:18" ht="15" x14ac:dyDescent="0.25">
      <c r="B32" s="4" t="s">
        <v>3</v>
      </c>
      <c r="C32" s="34">
        <f t="shared" si="3"/>
        <v>0.56178390137780998</v>
      </c>
      <c r="D32" s="34">
        <f t="shared" si="3"/>
        <v>0.5626875407697326</v>
      </c>
      <c r="E32" s="34">
        <f t="shared" si="3"/>
        <v>0.58772101520193121</v>
      </c>
      <c r="F32" s="34"/>
      <c r="G32" s="34"/>
      <c r="H32" s="34"/>
      <c r="I32" s="34">
        <f t="shared" ref="I32:R32" si="4">I30-I31</f>
        <v>0.58559127439724457</v>
      </c>
      <c r="J32" s="34">
        <f t="shared" si="4"/>
        <v>0.58511315621925108</v>
      </c>
      <c r="K32" s="34">
        <f t="shared" si="4"/>
        <v>0.58619184233503807</v>
      </c>
      <c r="L32" s="34">
        <f t="shared" si="4"/>
        <v>0.60039486673247777</v>
      </c>
      <c r="M32" s="34">
        <f t="shared" si="4"/>
        <v>0.60049178206289633</v>
      </c>
      <c r="N32" s="34">
        <f t="shared" si="4"/>
        <v>0.58511315621925108</v>
      </c>
      <c r="O32" s="34">
        <f t="shared" si="4"/>
        <v>0.58511315621925108</v>
      </c>
      <c r="P32" s="34">
        <f t="shared" si="4"/>
        <v>0.58511315621925108</v>
      </c>
      <c r="Q32" s="34">
        <f t="shared" si="4"/>
        <v>0.58511315621925108</v>
      </c>
      <c r="R32" s="34">
        <f t="shared" si="4"/>
        <v>0.58511315621925108</v>
      </c>
    </row>
    <row r="33" spans="1:18" x14ac:dyDescent="0.2">
      <c r="B33" s="3"/>
      <c r="C33" s="26"/>
      <c r="D33" s="26"/>
      <c r="E33" s="26"/>
      <c r="F33" s="26"/>
      <c r="G33" s="26"/>
      <c r="H33" s="26"/>
      <c r="I33" s="26"/>
    </row>
    <row r="34" spans="1:18" x14ac:dyDescent="0.2">
      <c r="B34" s="3" t="s">
        <v>4</v>
      </c>
      <c r="C34" s="26">
        <f t="shared" ref="C34:E37" si="5">C10/C$6</f>
        <v>0.36062364031907179</v>
      </c>
      <c r="D34" s="26">
        <f t="shared" si="5"/>
        <v>0.35368558382257015</v>
      </c>
      <c r="E34" s="26">
        <f t="shared" si="5"/>
        <v>0.34462060416258888</v>
      </c>
      <c r="F34" s="26"/>
      <c r="G34" s="26"/>
      <c r="H34" s="26"/>
      <c r="I34" s="26">
        <f>I10/I6</f>
        <v>0.35723306544202066</v>
      </c>
      <c r="J34" s="26">
        <f>J10/J6</f>
        <v>0.34624066678242749</v>
      </c>
      <c r="K34" s="26">
        <f>K10/K6</f>
        <v>0.34077585131595362</v>
      </c>
      <c r="L34" s="26">
        <f>L10/L6</f>
        <v>0.34544257979598553</v>
      </c>
      <c r="M34" s="26">
        <f>M10/M6</f>
        <v>0.3557007894396273</v>
      </c>
      <c r="N34" s="191">
        <f>35%</f>
        <v>0.35</v>
      </c>
      <c r="O34" s="191">
        <f>$N$34</f>
        <v>0.35</v>
      </c>
      <c r="P34" s="191">
        <f>$N$34</f>
        <v>0.35</v>
      </c>
      <c r="Q34" s="191">
        <f>$N$34</f>
        <v>0.35</v>
      </c>
      <c r="R34" s="191">
        <f>$N$34</f>
        <v>0.35</v>
      </c>
    </row>
    <row r="35" spans="1:18" x14ac:dyDescent="0.2">
      <c r="B35" s="3" t="s">
        <v>5</v>
      </c>
      <c r="C35" s="32">
        <f t="shared" si="5"/>
        <v>3.9158810732414793E-3</v>
      </c>
      <c r="D35" s="32">
        <f t="shared" si="5"/>
        <v>6.7188519243313767E-3</v>
      </c>
      <c r="E35" s="32">
        <f t="shared" si="5"/>
        <v>7.2421217459385399E-3</v>
      </c>
      <c r="F35" s="26"/>
      <c r="G35" s="26"/>
      <c r="H35" s="26"/>
      <c r="I35" s="26">
        <f>I11/I6</f>
        <v>4.8450057405281285E-2</v>
      </c>
      <c r="J35" s="26">
        <f>J11/J6</f>
        <v>6.59836777218267E-2</v>
      </c>
      <c r="K35" s="26">
        <f>K11/K6</f>
        <v>7.1473119620805783E-2</v>
      </c>
      <c r="L35" s="26">
        <f>L11/L6</f>
        <v>2.4350115169463641E-3</v>
      </c>
      <c r="M35" s="26">
        <f>M11/M6</f>
        <v>1.2553384237090721E-2</v>
      </c>
      <c r="N35" s="192">
        <f>$M$35</f>
        <v>1.2553384237090721E-2</v>
      </c>
      <c r="O35" s="192">
        <f>$M$35</f>
        <v>1.2553384237090721E-2</v>
      </c>
      <c r="P35" s="192">
        <f>$M$35</f>
        <v>1.2553384237090721E-2</v>
      </c>
      <c r="Q35" s="192">
        <f>$M$35</f>
        <v>1.2553384237090721E-2</v>
      </c>
      <c r="R35" s="192">
        <f>$M$35</f>
        <v>1.2553384237090721E-2</v>
      </c>
    </row>
    <row r="36" spans="1:18" ht="15" x14ac:dyDescent="0.25">
      <c r="B36" s="3" t="s">
        <v>6</v>
      </c>
      <c r="C36" s="35">
        <f t="shared" si="5"/>
        <v>0.19724437998549674</v>
      </c>
      <c r="D36" s="35">
        <f t="shared" si="5"/>
        <v>0.20228310502283106</v>
      </c>
      <c r="E36" s="35">
        <f t="shared" si="5"/>
        <v>0.2358582892934038</v>
      </c>
      <c r="F36" s="35"/>
      <c r="G36" s="35"/>
      <c r="H36" s="35"/>
      <c r="I36" s="35">
        <f t="shared" ref="I36:R36" si="6">I32-I34-I35</f>
        <v>0.17990815154994261</v>
      </c>
      <c r="J36" s="35">
        <f t="shared" si="6"/>
        <v>0.1728888117149969</v>
      </c>
      <c r="K36" s="35">
        <f t="shared" si="6"/>
        <v>0.17394287139827869</v>
      </c>
      <c r="L36" s="35">
        <f t="shared" si="6"/>
        <v>0.25251727541954588</v>
      </c>
      <c r="M36" s="35">
        <f t="shared" si="6"/>
        <v>0.23223760838617832</v>
      </c>
      <c r="N36" s="35">
        <f t="shared" si="6"/>
        <v>0.2225597719821604</v>
      </c>
      <c r="O36" s="35">
        <f t="shared" si="6"/>
        <v>0.2225597719821604</v>
      </c>
      <c r="P36" s="35">
        <f t="shared" si="6"/>
        <v>0.2225597719821604</v>
      </c>
      <c r="Q36" s="35">
        <f t="shared" si="6"/>
        <v>0.2225597719821604</v>
      </c>
      <c r="R36" s="35">
        <f t="shared" si="6"/>
        <v>0.2225597719821604</v>
      </c>
    </row>
    <row r="37" spans="1:18" x14ac:dyDescent="0.2">
      <c r="B37" s="3" t="s">
        <v>7</v>
      </c>
      <c r="C37" s="32">
        <f t="shared" si="5"/>
        <v>1.1385061638868746E-2</v>
      </c>
      <c r="D37" s="32">
        <f t="shared" si="5"/>
        <v>6.2622309197651665E-3</v>
      </c>
      <c r="E37" s="32">
        <f t="shared" si="5"/>
        <v>5.0238141841195275E-3</v>
      </c>
      <c r="F37" s="32"/>
      <c r="G37" s="32"/>
      <c r="H37" s="32"/>
      <c r="I37" s="32">
        <f>I13/I6</f>
        <v>-5.1664753157290469E-4</v>
      </c>
      <c r="J37" s="32">
        <f>J13/J6</f>
        <v>1.3891300573016148E-3</v>
      </c>
      <c r="K37" s="32">
        <f>K13/K6</f>
        <v>1.6215541973306723E-3</v>
      </c>
      <c r="L37" s="32">
        <f>L13/L6</f>
        <v>6.5153010858835141E-3</v>
      </c>
      <c r="M37" s="32">
        <f>M13/M6</f>
        <v>6.6002329493982138E-3</v>
      </c>
      <c r="N37" s="32">
        <f>$M$37</f>
        <v>6.6002329493982138E-3</v>
      </c>
      <c r="O37" s="32">
        <f>$M$37</f>
        <v>6.6002329493982138E-3</v>
      </c>
      <c r="P37" s="32">
        <f>$M$37</f>
        <v>6.6002329493982138E-3</v>
      </c>
      <c r="Q37" s="32">
        <f>$M$37</f>
        <v>6.6002329493982138E-3</v>
      </c>
      <c r="R37" s="32">
        <f>$M$37</f>
        <v>6.6002329493982138E-3</v>
      </c>
    </row>
    <row r="38" spans="1:18" x14ac:dyDescent="0.2">
      <c r="B38" s="3"/>
      <c r="C38" s="29"/>
      <c r="D38" s="29"/>
      <c r="E38" s="26"/>
      <c r="F38" s="26"/>
      <c r="G38" s="26"/>
      <c r="H38" s="26"/>
      <c r="I38" s="26"/>
    </row>
    <row r="39" spans="1:18" x14ac:dyDescent="0.2">
      <c r="B39" s="3" t="s">
        <v>8</v>
      </c>
      <c r="C39" s="26">
        <f t="shared" ref="C39:E41" si="7">C15/C$6</f>
        <v>0.185859318346628</v>
      </c>
      <c r="D39" s="26">
        <f t="shared" si="7"/>
        <v>0.19602087410306587</v>
      </c>
      <c r="E39" s="26">
        <f t="shared" si="7"/>
        <v>0.23083447510928426</v>
      </c>
      <c r="F39" s="26"/>
      <c r="G39" s="26"/>
      <c r="H39" s="26"/>
      <c r="I39" s="26">
        <f>I15/I6</f>
        <v>0.20464982778415614</v>
      </c>
      <c r="J39" s="26">
        <f>J15/J6</f>
        <v>0.20449152051860855</v>
      </c>
      <c r="K39" s="26">
        <f>K15/K6</f>
        <v>0.17232131720094798</v>
      </c>
      <c r="L39" s="26">
        <f>L15/L6</f>
        <v>0.24600197433366239</v>
      </c>
      <c r="M39" s="26">
        <f>M15/M6</f>
        <v>0.22563737543678011</v>
      </c>
      <c r="N39" s="191">
        <f>22%</f>
        <v>0.22</v>
      </c>
      <c r="O39" s="191">
        <f>$N$39</f>
        <v>0.22</v>
      </c>
      <c r="P39" s="191">
        <f>$N$39</f>
        <v>0.22</v>
      </c>
      <c r="Q39" s="191">
        <f>$N$39</f>
        <v>0.22</v>
      </c>
      <c r="R39" s="191">
        <f>$N$39</f>
        <v>0.22</v>
      </c>
    </row>
    <row r="40" spans="1:18" x14ac:dyDescent="0.2">
      <c r="B40" s="3" t="s">
        <v>9</v>
      </c>
      <c r="C40" s="32">
        <f t="shared" si="7"/>
        <v>5.5039883973894123E-2</v>
      </c>
      <c r="D40" s="32">
        <f t="shared" si="7"/>
        <v>6.3144161774298754E-2</v>
      </c>
      <c r="E40" s="32">
        <f t="shared" si="7"/>
        <v>7.444379200104391E-2</v>
      </c>
      <c r="F40" s="26"/>
      <c r="G40" s="26"/>
      <c r="H40" s="26"/>
      <c r="I40" s="26">
        <f>I16/I6</f>
        <v>6.630309988518944E-2</v>
      </c>
      <c r="J40" s="26">
        <f>J16/J6</f>
        <v>6.910922035075534E-2</v>
      </c>
      <c r="K40" s="26">
        <f>K16/K6</f>
        <v>7.5776474990644882E-2</v>
      </c>
      <c r="L40" s="26">
        <f>L16/L6</f>
        <v>7.5814412635735434E-2</v>
      </c>
      <c r="M40" s="26">
        <f>M16/M6</f>
        <v>8.4961822181959357E-2</v>
      </c>
      <c r="N40" s="192">
        <f>$M$40</f>
        <v>8.4961822181959357E-2</v>
      </c>
      <c r="O40" s="192">
        <f>$M$40</f>
        <v>8.4961822181959357E-2</v>
      </c>
      <c r="P40" s="192">
        <f>$M$40</f>
        <v>8.4961822181959357E-2</v>
      </c>
      <c r="Q40" s="192">
        <f>$M$40</f>
        <v>8.4961822181959357E-2</v>
      </c>
      <c r="R40" s="192">
        <f>$M$40</f>
        <v>8.4961822181959357E-2</v>
      </c>
    </row>
    <row r="41" spans="1:18" x14ac:dyDescent="0.2">
      <c r="B41" s="5" t="s">
        <v>10</v>
      </c>
      <c r="C41" s="30">
        <f t="shared" si="7"/>
        <v>0.13081943437273386</v>
      </c>
      <c r="D41" s="30">
        <f t="shared" si="7"/>
        <v>0.13287671232876713</v>
      </c>
      <c r="E41" s="30">
        <f t="shared" si="7"/>
        <v>0.15639068310824036</v>
      </c>
      <c r="F41" s="30"/>
      <c r="G41" s="30"/>
      <c r="H41" s="30"/>
      <c r="I41" s="30">
        <f>I17/I6</f>
        <v>0.13834672789896671</v>
      </c>
      <c r="J41" s="30">
        <f>J17/J6</f>
        <v>0.13538230016785321</v>
      </c>
      <c r="K41" s="30">
        <f>K17/K6</f>
        <v>9.65448422103031E-2</v>
      </c>
      <c r="L41" s="30">
        <f>L17/L6</f>
        <v>0.17018756169792695</v>
      </c>
      <c r="M41" s="30">
        <f>M17/M6</f>
        <v>0.14067555325482076</v>
      </c>
      <c r="N41" s="30">
        <f>N39-N40</f>
        <v>0.13503817781804064</v>
      </c>
      <c r="O41" s="30">
        <f>O39-O40</f>
        <v>0.13503817781804064</v>
      </c>
      <c r="P41" s="30">
        <f>P39-P40</f>
        <v>0.13503817781804064</v>
      </c>
      <c r="Q41" s="30">
        <f>Q39-Q40</f>
        <v>0.13503817781804064</v>
      </c>
      <c r="R41" s="30">
        <f>R39-R40</f>
        <v>0.13503817781804064</v>
      </c>
    </row>
    <row r="42" spans="1:18" ht="15" x14ac:dyDescent="0.25">
      <c r="B42" s="237" t="s">
        <v>208</v>
      </c>
      <c r="C42" s="32">
        <f>C18/C$17</f>
        <v>3.7139689578713969E-2</v>
      </c>
      <c r="D42" s="32">
        <f>D18/D$17</f>
        <v>3.9273441335297005E-2</v>
      </c>
      <c r="E42" s="32">
        <f>E18/E$17</f>
        <v>4.4221944096787653E-2</v>
      </c>
      <c r="F42" s="32"/>
      <c r="G42" s="32"/>
      <c r="H42" s="32"/>
      <c r="I42" s="318">
        <f>I18/I6</f>
        <v>9.7014925373134324E-3</v>
      </c>
      <c r="J42" s="318">
        <f>J18/J6</f>
        <v>9.2029866296231989E-3</v>
      </c>
      <c r="K42" s="318">
        <f>K18/K6</f>
        <v>1.0228264937008857E-2</v>
      </c>
      <c r="L42" s="318">
        <f>L18/L6</f>
        <v>9.5426127015465611E-3</v>
      </c>
      <c r="M42" s="318">
        <f>M18/M6</f>
        <v>9.7062249255856093E-3</v>
      </c>
      <c r="N42" s="333">
        <f>$M$42</f>
        <v>9.7062249255856093E-3</v>
      </c>
      <c r="O42" s="333">
        <f>$M$42</f>
        <v>9.7062249255856093E-3</v>
      </c>
      <c r="P42" s="333">
        <f>$M$42</f>
        <v>9.7062249255856093E-3</v>
      </c>
      <c r="Q42" s="333">
        <f>$M$42</f>
        <v>9.7062249255856093E-3</v>
      </c>
      <c r="R42" s="333">
        <f>$M$42</f>
        <v>9.7062249255856093E-3</v>
      </c>
    </row>
    <row r="43" spans="1:18" ht="15" x14ac:dyDescent="0.25">
      <c r="B43" s="25" t="s">
        <v>12</v>
      </c>
      <c r="C43" s="36">
        <f>C19/C$6</f>
        <v>0.12596084118926759</v>
      </c>
      <c r="D43" s="36">
        <f>D19/D$6</f>
        <v>0.12765818656229616</v>
      </c>
      <c r="E43" s="36">
        <f>E19/E$6</f>
        <v>0.14947478306256931</v>
      </c>
      <c r="F43" s="36"/>
      <c r="G43" s="36"/>
      <c r="H43" s="36"/>
      <c r="I43" s="36">
        <f t="shared" ref="I43:R43" si="8">I41-I42</f>
        <v>0.12864523536165329</v>
      </c>
      <c r="J43" s="36">
        <f t="shared" si="8"/>
        <v>0.12617931353823</v>
      </c>
      <c r="K43" s="36">
        <f t="shared" si="8"/>
        <v>8.631657727329424E-2</v>
      </c>
      <c r="L43" s="36">
        <f t="shared" si="8"/>
        <v>0.1606449489963804</v>
      </c>
      <c r="M43" s="36">
        <f t="shared" si="8"/>
        <v>0.13096932832923514</v>
      </c>
      <c r="N43" s="36">
        <f t="shared" si="8"/>
        <v>0.12533195289245502</v>
      </c>
      <c r="O43" s="36">
        <f t="shared" si="8"/>
        <v>0.12533195289245502</v>
      </c>
      <c r="P43" s="36">
        <f t="shared" si="8"/>
        <v>0.12533195289245502</v>
      </c>
      <c r="Q43" s="36">
        <f t="shared" si="8"/>
        <v>0.12533195289245502</v>
      </c>
      <c r="R43" s="36">
        <f t="shared" si="8"/>
        <v>0.12533195289245502</v>
      </c>
    </row>
    <row r="45" spans="1:18" x14ac:dyDescent="0.2">
      <c r="B45" s="23" t="s">
        <v>207</v>
      </c>
      <c r="C45" s="193">
        <f>C16/C15</f>
        <v>0.29613733905579398</v>
      </c>
      <c r="D45" s="193">
        <f>D16/D15</f>
        <v>0.3221297836938436</v>
      </c>
      <c r="E45" s="193">
        <f>E16/E15</f>
        <v>0.32249858677218768</v>
      </c>
      <c r="F45" s="193"/>
      <c r="G45" s="193"/>
      <c r="H45" s="193"/>
      <c r="I45" s="193"/>
      <c r="J45" s="192"/>
      <c r="K45" s="192"/>
      <c r="L45" s="192"/>
      <c r="M45" s="192"/>
      <c r="N45" s="192"/>
    </row>
    <row r="48" spans="1:18" ht="15.75" thickBot="1" x14ac:dyDescent="0.3">
      <c r="A48" s="172" t="s">
        <v>19</v>
      </c>
      <c r="C48" s="14">
        <f t="shared" ref="C48:H48" si="9">C29</f>
        <v>39447</v>
      </c>
      <c r="D48" s="14">
        <f t="shared" si="9"/>
        <v>39813</v>
      </c>
      <c r="E48" s="14">
        <f t="shared" si="9"/>
        <v>40178</v>
      </c>
      <c r="F48" s="14">
        <f t="shared" si="9"/>
        <v>40543</v>
      </c>
      <c r="G48" s="14">
        <f t="shared" si="9"/>
        <v>40908</v>
      </c>
      <c r="H48" s="14">
        <f t="shared" si="9"/>
        <v>41274</v>
      </c>
      <c r="I48" s="14">
        <f t="shared" ref="I48:N48" si="10">I29</f>
        <v>41639</v>
      </c>
      <c r="J48" s="14">
        <f t="shared" si="10"/>
        <v>42004</v>
      </c>
      <c r="K48" s="14">
        <f t="shared" si="10"/>
        <v>42369</v>
      </c>
      <c r="L48" s="14">
        <f t="shared" si="10"/>
        <v>42735</v>
      </c>
      <c r="M48" s="14">
        <f t="shared" si="10"/>
        <v>43100</v>
      </c>
      <c r="N48" s="14">
        <f t="shared" si="10"/>
        <v>43465</v>
      </c>
    </row>
    <row r="49" spans="2:14" x14ac:dyDescent="0.2">
      <c r="B49" s="3" t="s">
        <v>1</v>
      </c>
      <c r="C49" s="26"/>
      <c r="D49" s="26">
        <f t="shared" ref="D49:E51" si="11">D6/C6-1</f>
        <v>0.11167512690355319</v>
      </c>
      <c r="E49" s="26">
        <f t="shared" si="11"/>
        <v>-1.956947162427003E-4</v>
      </c>
      <c r="F49" s="26"/>
      <c r="G49" s="26"/>
      <c r="H49" s="26"/>
      <c r="I49" s="26"/>
      <c r="J49" s="26">
        <f t="shared" ref="J49:M50" si="12">(J6-I6)/I6</f>
        <v>-8.2089552238805968E-3</v>
      </c>
      <c r="K49" s="26">
        <f t="shared" si="12"/>
        <v>-7.1945360884412807E-2</v>
      </c>
      <c r="L49" s="26">
        <f t="shared" si="12"/>
        <v>-5.2326306598478235E-2</v>
      </c>
      <c r="M49" s="26">
        <f t="shared" si="12"/>
        <v>1.7045080618624548E-2</v>
      </c>
      <c r="N49" s="26"/>
    </row>
    <row r="50" spans="2:14" x14ac:dyDescent="0.2">
      <c r="B50" s="3" t="s">
        <v>2</v>
      </c>
      <c r="C50" s="32"/>
      <c r="D50" s="32">
        <f t="shared" si="11"/>
        <v>0.10938275690882016</v>
      </c>
      <c r="E50" s="32">
        <f t="shared" si="11"/>
        <v>-5.7428400954653958E-2</v>
      </c>
      <c r="F50" s="32"/>
      <c r="G50" s="32"/>
      <c r="H50" s="32"/>
      <c r="I50" s="32"/>
      <c r="J50" s="32">
        <f t="shared" si="12"/>
        <v>-7.0646904003324558E-3</v>
      </c>
      <c r="K50" s="32">
        <f t="shared" si="12"/>
        <v>-7.4358258928571425E-2</v>
      </c>
      <c r="L50" s="32">
        <f t="shared" si="12"/>
        <v>-8.4853051996985687E-2</v>
      </c>
      <c r="M50" s="32">
        <f t="shared" si="12"/>
        <v>1.6798418972332016E-2</v>
      </c>
      <c r="N50" s="32"/>
    </row>
    <row r="51" spans="2:14" x14ac:dyDescent="0.2">
      <c r="B51" s="4" t="s">
        <v>3</v>
      </c>
      <c r="C51" s="27"/>
      <c r="D51" s="27">
        <f t="shared" si="11"/>
        <v>0.11346327610688012</v>
      </c>
      <c r="E51" s="27">
        <f t="shared" si="11"/>
        <v>4.4284720612102868E-2</v>
      </c>
      <c r="F51" s="27"/>
      <c r="G51" s="27"/>
      <c r="H51" s="27"/>
      <c r="I51" s="27"/>
      <c r="J51" s="32">
        <f t="shared" ref="J51:M62" si="13">(J8-I8)/I8</f>
        <v>-9.0187236545436721E-3</v>
      </c>
      <c r="K51" s="32">
        <f t="shared" si="13"/>
        <v>-7.0234444554357497E-2</v>
      </c>
      <c r="L51" s="32">
        <f t="shared" si="13"/>
        <v>-2.936482604532397E-2</v>
      </c>
      <c r="M51" s="32">
        <f t="shared" si="13"/>
        <v>1.7209251342760058E-2</v>
      </c>
      <c r="N51" s="27"/>
    </row>
    <row r="52" spans="2:14" x14ac:dyDescent="0.2">
      <c r="B52" s="3"/>
      <c r="C52" s="26"/>
      <c r="D52" s="26"/>
      <c r="E52" s="26"/>
      <c r="F52" s="26"/>
      <c r="G52" s="26"/>
      <c r="H52" s="26"/>
      <c r="I52" s="26"/>
      <c r="N52" s="26"/>
    </row>
    <row r="53" spans="2:14" x14ac:dyDescent="0.2">
      <c r="B53" s="3" t="s">
        <v>4</v>
      </c>
      <c r="C53" s="26"/>
      <c r="D53" s="26">
        <f t="shared" ref="D53:E56" si="14">D10/C10-1</f>
        <v>9.0287552785039304E-2</v>
      </c>
      <c r="E53" s="26">
        <f t="shared" si="14"/>
        <v>-2.5820730357801525E-2</v>
      </c>
      <c r="F53" s="26"/>
      <c r="G53" s="26"/>
      <c r="H53" s="26"/>
      <c r="I53" s="26"/>
      <c r="J53" s="26">
        <f t="shared" si="13"/>
        <v>-3.8727301944399807E-2</v>
      </c>
      <c r="K53" s="26">
        <f t="shared" si="13"/>
        <v>-8.659311267134738E-2</v>
      </c>
      <c r="L53" s="26">
        <f t="shared" si="13"/>
        <v>-3.9348462664714492E-2</v>
      </c>
      <c r="M53" s="26">
        <f t="shared" si="13"/>
        <v>4.7247094684701847E-2</v>
      </c>
      <c r="N53" s="26"/>
    </row>
    <row r="54" spans="2:14" x14ac:dyDescent="0.2">
      <c r="B54" s="3" t="s">
        <v>5</v>
      </c>
      <c r="C54" s="32"/>
      <c r="D54" s="32">
        <f t="shared" si="14"/>
        <v>0.90740740740740744</v>
      </c>
      <c r="E54" s="32">
        <f t="shared" si="14"/>
        <v>7.7669902912621325E-2</v>
      </c>
      <c r="F54" s="26"/>
      <c r="G54" s="26"/>
      <c r="H54" s="26"/>
      <c r="I54" s="26"/>
      <c r="J54" s="32">
        <f t="shared" si="13"/>
        <v>0.35071090047393366</v>
      </c>
      <c r="K54" s="32">
        <f t="shared" si="13"/>
        <v>5.263157894736842E-3</v>
      </c>
      <c r="L54" s="32">
        <f t="shared" si="13"/>
        <v>-0.96771378708551481</v>
      </c>
      <c r="M54" s="32">
        <f t="shared" si="13"/>
        <v>4.243243243243243</v>
      </c>
      <c r="N54" s="26"/>
    </row>
    <row r="55" spans="2:14" x14ac:dyDescent="0.2">
      <c r="B55" s="3" t="s">
        <v>6</v>
      </c>
      <c r="C55" s="28"/>
      <c r="D55" s="28">
        <f t="shared" si="14"/>
        <v>0.14007352941176476</v>
      </c>
      <c r="E55" s="28">
        <f t="shared" si="14"/>
        <v>0.16575298290873919</v>
      </c>
      <c r="F55" s="28"/>
      <c r="G55" s="28"/>
      <c r="H55" s="28"/>
      <c r="I55" s="28"/>
      <c r="J55" s="32">
        <f t="shared" si="13"/>
        <v>2.8121484814398203E-4</v>
      </c>
      <c r="K55" s="32">
        <f t="shared" si="13"/>
        <v>-0.2159122856339612</v>
      </c>
      <c r="L55" s="32">
        <f t="shared" si="13"/>
        <v>0.37576192183578344</v>
      </c>
      <c r="M55" s="32">
        <f t="shared" si="13"/>
        <v>-6.4633828511858227E-2</v>
      </c>
      <c r="N55" s="28"/>
    </row>
    <row r="56" spans="2:14" x14ac:dyDescent="0.2">
      <c r="B56" s="3" t="s">
        <v>7</v>
      </c>
      <c r="C56" s="32"/>
      <c r="D56" s="32">
        <f t="shared" si="14"/>
        <v>-0.38853503184713378</v>
      </c>
      <c r="E56" s="32">
        <f t="shared" si="14"/>
        <v>-0.19791666666666663</v>
      </c>
      <c r="F56" s="32"/>
      <c r="G56" s="32"/>
      <c r="H56" s="32"/>
      <c r="I56" s="32"/>
      <c r="J56" s="32">
        <f>ABS((J13-I13)/I13)</f>
        <v>3.6666666666666665</v>
      </c>
      <c r="K56" s="32">
        <f t="shared" si="13"/>
        <v>8.3333333333333329E-2</v>
      </c>
      <c r="L56" s="32">
        <f t="shared" si="13"/>
        <v>2.8076923076923075</v>
      </c>
      <c r="M56" s="32">
        <f t="shared" si="13"/>
        <v>3.0303030303030304E-2</v>
      </c>
      <c r="N56" s="32"/>
    </row>
    <row r="57" spans="2:14" x14ac:dyDescent="0.2">
      <c r="B57" s="3"/>
      <c r="C57" s="29"/>
      <c r="D57" s="29"/>
      <c r="E57" s="26"/>
      <c r="F57" s="26"/>
      <c r="G57" s="26"/>
      <c r="H57" s="26"/>
      <c r="I57" s="26"/>
      <c r="J57" s="32"/>
      <c r="K57" s="32"/>
      <c r="L57" s="32"/>
      <c r="M57" s="32"/>
      <c r="N57" s="26"/>
    </row>
    <row r="58" spans="2:14" x14ac:dyDescent="0.2">
      <c r="B58" s="3" t="s">
        <v>8</v>
      </c>
      <c r="C58" s="26"/>
      <c r="D58" s="26">
        <f t="shared" ref="D58:E62" si="15">D15/C15-1</f>
        <v>0.17245415528677333</v>
      </c>
      <c r="E58" s="26">
        <f t="shared" si="15"/>
        <v>0.17737104825291183</v>
      </c>
      <c r="F58" s="26"/>
      <c r="G58" s="26"/>
      <c r="H58" s="26"/>
      <c r="I58" s="26"/>
      <c r="J58" s="32">
        <f t="shared" si="13"/>
        <v>-8.9761570827489486E-3</v>
      </c>
      <c r="K58" s="32">
        <f t="shared" si="13"/>
        <v>-0.21794508915935465</v>
      </c>
      <c r="L58" s="32">
        <f t="shared" si="13"/>
        <v>0.3528773072747014</v>
      </c>
      <c r="M58" s="32">
        <f t="shared" si="13"/>
        <v>-6.7148207597645795E-2</v>
      </c>
      <c r="N58" s="26"/>
    </row>
    <row r="59" spans="2:14" x14ac:dyDescent="0.2">
      <c r="B59" s="3" t="s">
        <v>9</v>
      </c>
      <c r="C59" s="32"/>
      <c r="D59" s="32">
        <f t="shared" si="15"/>
        <v>0.2753623188405796</v>
      </c>
      <c r="E59" s="32">
        <f t="shared" si="15"/>
        <v>0.17871900826446274</v>
      </c>
      <c r="F59" s="26"/>
      <c r="G59" s="26"/>
      <c r="H59" s="26"/>
      <c r="I59" s="26"/>
      <c r="J59" s="32">
        <f t="shared" si="13"/>
        <v>3.3766233766233764E-2</v>
      </c>
      <c r="K59" s="32">
        <f t="shared" si="13"/>
        <v>1.7587939698492462E-2</v>
      </c>
      <c r="L59" s="32">
        <f t="shared" si="13"/>
        <v>-5.185185185185185E-2</v>
      </c>
      <c r="M59" s="32">
        <f t="shared" si="13"/>
        <v>0.13975694444444445</v>
      </c>
      <c r="N59" s="26"/>
    </row>
    <row r="60" spans="2:14" x14ac:dyDescent="0.2">
      <c r="B60" s="5" t="s">
        <v>10</v>
      </c>
      <c r="C60" s="30"/>
      <c r="D60" s="30">
        <f t="shared" si="15"/>
        <v>0.12915742793791574</v>
      </c>
      <c r="E60" s="30">
        <f t="shared" si="15"/>
        <v>0.17673048600883656</v>
      </c>
      <c r="F60" s="30"/>
      <c r="G60" s="30"/>
      <c r="H60" s="30"/>
      <c r="I60" s="30"/>
      <c r="J60" s="32">
        <f t="shared" si="13"/>
        <v>-2.946058091286307E-2</v>
      </c>
      <c r="K60" s="32">
        <f t="shared" si="13"/>
        <v>-0.33817870884993589</v>
      </c>
      <c r="L60" s="32">
        <f t="shared" si="13"/>
        <v>0.6705426356589147</v>
      </c>
      <c r="M60" s="32">
        <f t="shared" si="13"/>
        <v>-0.15931941221964424</v>
      </c>
      <c r="N60" s="30"/>
    </row>
    <row r="61" spans="2:14" x14ac:dyDescent="0.2">
      <c r="B61" s="6" t="s">
        <v>11</v>
      </c>
      <c r="C61" s="32"/>
      <c r="D61" s="32">
        <f t="shared" si="15"/>
        <v>0.19402985074626855</v>
      </c>
      <c r="E61" s="32">
        <f t="shared" si="15"/>
        <v>0.32499999999999996</v>
      </c>
      <c r="F61" s="32"/>
      <c r="G61" s="32"/>
      <c r="H61" s="32"/>
      <c r="I61" s="32"/>
      <c r="J61" s="32">
        <f t="shared" si="13"/>
        <v>-5.9171597633136092E-2</v>
      </c>
      <c r="K61" s="32">
        <f t="shared" si="13"/>
        <v>3.1446540880503145E-2</v>
      </c>
      <c r="L61" s="32">
        <f t="shared" si="13"/>
        <v>-0.11585365853658537</v>
      </c>
      <c r="M61" s="32">
        <f t="shared" si="13"/>
        <v>3.4482758620689655E-2</v>
      </c>
      <c r="N61" s="32"/>
    </row>
    <row r="62" spans="2:14" ht="15" x14ac:dyDescent="0.25">
      <c r="B62" s="25" t="s">
        <v>12</v>
      </c>
      <c r="C62" s="31"/>
      <c r="D62" s="31">
        <f t="shared" si="15"/>
        <v>0.12665515256188842</v>
      </c>
      <c r="E62" s="31">
        <f t="shared" si="15"/>
        <v>0.17066939192641795</v>
      </c>
      <c r="F62" s="31"/>
      <c r="G62" s="31"/>
      <c r="H62" s="31"/>
      <c r="I62" s="31"/>
      <c r="J62" s="32">
        <f t="shared" si="13"/>
        <v>-2.7219991075412762E-2</v>
      </c>
      <c r="K62" s="32">
        <f t="shared" si="13"/>
        <v>-0.3651376146788991</v>
      </c>
      <c r="L62" s="32">
        <f t="shared" si="13"/>
        <v>0.76372832369942201</v>
      </c>
      <c r="M62" s="32">
        <f t="shared" si="13"/>
        <v>-0.17083162638263008</v>
      </c>
      <c r="N62" s="31"/>
    </row>
    <row r="65" spans="1:19" ht="15" x14ac:dyDescent="0.25">
      <c r="A65" s="172" t="s">
        <v>189</v>
      </c>
    </row>
    <row r="66" spans="1:19" ht="15" thickBot="1" x14ac:dyDescent="0.25">
      <c r="B66" s="180"/>
      <c r="C66" s="181">
        <f>C5</f>
        <v>39447</v>
      </c>
      <c r="D66" s="181">
        <f>D5</f>
        <v>39813</v>
      </c>
      <c r="E66" s="181">
        <f>E5</f>
        <v>40178</v>
      </c>
      <c r="F66" s="181">
        <f>F5</f>
        <v>40543</v>
      </c>
      <c r="G66" s="181">
        <f t="shared" ref="G66:N66" si="16">G5</f>
        <v>40908</v>
      </c>
      <c r="H66" s="181">
        <f t="shared" si="16"/>
        <v>41274</v>
      </c>
      <c r="I66" s="181">
        <f t="shared" si="16"/>
        <v>41639</v>
      </c>
      <c r="J66" s="181">
        <f t="shared" si="16"/>
        <v>42004</v>
      </c>
      <c r="K66" s="181">
        <f t="shared" si="16"/>
        <v>42369</v>
      </c>
      <c r="L66" s="181">
        <f t="shared" si="16"/>
        <v>42735</v>
      </c>
      <c r="M66" s="181">
        <f t="shared" si="16"/>
        <v>43100</v>
      </c>
      <c r="N66" s="181">
        <f t="shared" si="16"/>
        <v>43465</v>
      </c>
      <c r="O66" s="180"/>
      <c r="P66" s="180"/>
    </row>
    <row r="67" spans="1:19" ht="15" x14ac:dyDescent="0.2">
      <c r="B67" s="174"/>
      <c r="G67" s="175"/>
      <c r="H67" s="175"/>
      <c r="I67" s="175"/>
    </row>
    <row r="68" spans="1:19" ht="15" x14ac:dyDescent="0.2">
      <c r="B68" s="177" t="s">
        <v>195</v>
      </c>
      <c r="G68" s="175"/>
      <c r="H68" s="175"/>
      <c r="I68" s="175"/>
    </row>
    <row r="69" spans="1:19" x14ac:dyDescent="0.2">
      <c r="B69" s="176" t="s">
        <v>203</v>
      </c>
      <c r="G69" s="182"/>
      <c r="H69" s="182"/>
      <c r="I69" s="153">
        <v>3072</v>
      </c>
      <c r="J69" s="153">
        <v>3124</v>
      </c>
      <c r="K69" s="153">
        <v>3149</v>
      </c>
      <c r="L69" s="153">
        <v>3183</v>
      </c>
      <c r="M69" s="153">
        <v>3117</v>
      </c>
      <c r="N69" s="331">
        <f>(1+N70)*M69</f>
        <v>3150.6544934899966</v>
      </c>
      <c r="O69" s="331">
        <f>(1+O70)*N69</f>
        <v>3184.6723571859825</v>
      </c>
      <c r="P69" s="331">
        <f>(1+P70)*O69</f>
        <v>3219.0575144245736</v>
      </c>
      <c r="Q69" s="331">
        <f>(1+Q70)*P69</f>
        <v>3253.8139309029589</v>
      </c>
      <c r="R69" s="331">
        <f>(1+R70)*Q69</f>
        <v>3288.945615136271</v>
      </c>
    </row>
    <row r="70" spans="1:19" x14ac:dyDescent="0.2">
      <c r="B70" s="188" t="s">
        <v>204</v>
      </c>
      <c r="G70" s="182"/>
      <c r="H70" s="183"/>
      <c r="I70" s="184">
        <v>3.5000000000000003E-2</v>
      </c>
      <c r="J70" s="184">
        <f>(J69-I69)/I69</f>
        <v>1.6927083333333332E-2</v>
      </c>
      <c r="K70" s="184">
        <f>(K69-J69)/J69</f>
        <v>8.0025608194622278E-3</v>
      </c>
      <c r="L70" s="184">
        <f>(L69-K69)/K69</f>
        <v>1.0797078437599238E-2</v>
      </c>
      <c r="M70" s="184">
        <f>(M69-L69)/L69</f>
        <v>-2.0735155513666354E-2</v>
      </c>
      <c r="N70" s="330">
        <f>$L$70</f>
        <v>1.0797078437599238E-2</v>
      </c>
      <c r="O70" s="330">
        <f>$L$70</f>
        <v>1.0797078437599238E-2</v>
      </c>
      <c r="P70" s="330">
        <f>$L$70</f>
        <v>1.0797078437599238E-2</v>
      </c>
      <c r="Q70" s="330">
        <f>$L$70</f>
        <v>1.0797078437599238E-2</v>
      </c>
      <c r="R70" s="330">
        <f>$L$70</f>
        <v>1.0797078437599238E-2</v>
      </c>
    </row>
    <row r="71" spans="1:19" hidden="1" x14ac:dyDescent="0.2">
      <c r="B71" s="176"/>
      <c r="G71" s="182"/>
      <c r="H71" s="182"/>
      <c r="I71" s="182"/>
    </row>
    <row r="72" spans="1:19" x14ac:dyDescent="0.2">
      <c r="B72" s="176" t="s">
        <v>196</v>
      </c>
      <c r="G72" s="185"/>
      <c r="H72" s="185"/>
      <c r="I72" s="153">
        <v>5012</v>
      </c>
      <c r="J72" s="153">
        <v>4769</v>
      </c>
      <c r="K72" s="153">
        <v>4327</v>
      </c>
      <c r="L72" s="153">
        <v>3650</v>
      </c>
      <c r="M72" s="153">
        <v>3887</v>
      </c>
      <c r="N72" s="332">
        <f>(1+N73)*M72</f>
        <v>4013.1943835616439</v>
      </c>
      <c r="O72" s="332">
        <f>(1+O73)*N72</f>
        <v>4143.4857628635764</v>
      </c>
      <c r="P72" s="332">
        <f>(1+P73)*O72</f>
        <v>4278.0071499592841</v>
      </c>
      <c r="Q72" s="332">
        <f>(1+Q73)*P72</f>
        <v>4416.8958752387844</v>
      </c>
      <c r="R72" s="332">
        <f>(1+R73)*Q72</f>
        <v>4560.2937276266739</v>
      </c>
    </row>
    <row r="73" spans="1:19" x14ac:dyDescent="0.2">
      <c r="B73" s="188" t="s">
        <v>204</v>
      </c>
      <c r="G73" s="185"/>
      <c r="H73" s="183"/>
      <c r="I73" s="184">
        <v>-5.0000000000000001E-3</v>
      </c>
      <c r="J73" s="184">
        <f>(J72-I72)/I72</f>
        <v>-4.8483639265762171E-2</v>
      </c>
      <c r="K73" s="184">
        <f>(K72-J72)/J72</f>
        <v>-9.2681903963094989E-2</v>
      </c>
      <c r="L73" s="184">
        <f>(L72-K72)/K72</f>
        <v>-0.15645944072105386</v>
      </c>
      <c r="M73" s="184">
        <f>(M72-L72)/L72</f>
        <v>6.4931506849315063E-2</v>
      </c>
      <c r="N73" s="330">
        <f>$M$73/2</f>
        <v>3.2465753424657531E-2</v>
      </c>
      <c r="O73" s="330">
        <f>$M$73/2</f>
        <v>3.2465753424657531E-2</v>
      </c>
      <c r="P73" s="330">
        <f>$M$73/2</f>
        <v>3.2465753424657531E-2</v>
      </c>
      <c r="Q73" s="330">
        <f>$M$73/2</f>
        <v>3.2465753424657531E-2</v>
      </c>
      <c r="R73" s="330">
        <f>$M$73/2</f>
        <v>3.2465753424657531E-2</v>
      </c>
    </row>
    <row r="74" spans="1:19" hidden="1" x14ac:dyDescent="0.2">
      <c r="B74" s="176"/>
      <c r="G74" s="185"/>
      <c r="H74" s="185"/>
      <c r="I74" s="185"/>
    </row>
    <row r="75" spans="1:19" x14ac:dyDescent="0.2">
      <c r="B75" s="176" t="s">
        <v>197</v>
      </c>
      <c r="G75" s="185"/>
      <c r="H75" s="185"/>
      <c r="I75" s="153">
        <v>3396</v>
      </c>
      <c r="J75" s="153">
        <v>3406</v>
      </c>
      <c r="K75" s="153">
        <v>2411</v>
      </c>
      <c r="L75" s="153">
        <v>2342</v>
      </c>
      <c r="M75" s="153">
        <v>2394</v>
      </c>
      <c r="N75" s="331">
        <f>(1+N76)*M75</f>
        <v>2401.0494699646642</v>
      </c>
      <c r="O75" s="331">
        <f>(1+O76)*N75</f>
        <v>2408.1196980858795</v>
      </c>
      <c r="P75" s="331">
        <f>(1+P76)*O75</f>
        <v>2415.2107454889592</v>
      </c>
      <c r="Q75" s="331">
        <f>(1+Q76)*P75</f>
        <v>2422.3226734792092</v>
      </c>
      <c r="R75" s="331">
        <f>(1+R76)*Q75</f>
        <v>2429.4555435424577</v>
      </c>
    </row>
    <row r="76" spans="1:19" x14ac:dyDescent="0.2">
      <c r="B76" s="188" t="s">
        <v>204</v>
      </c>
      <c r="G76" s="185"/>
      <c r="H76" s="183"/>
      <c r="I76" s="184">
        <v>-5.0000000000000001E-3</v>
      </c>
      <c r="J76" s="329">
        <f>(J75-I75)/I75</f>
        <v>2.9446407538280331E-3</v>
      </c>
      <c r="K76" s="329">
        <f>(K75-J75)/J75</f>
        <v>-0.29213153258954788</v>
      </c>
      <c r="L76" s="329">
        <f>(L75-K75)/K75</f>
        <v>-2.8618830360846122E-2</v>
      </c>
      <c r="M76" s="329">
        <f>(M75-L75)/L75</f>
        <v>2.2203245089666951E-2</v>
      </c>
      <c r="N76" s="330">
        <f>$J$76</f>
        <v>2.9446407538280331E-3</v>
      </c>
      <c r="O76" s="330">
        <f>$J$76</f>
        <v>2.9446407538280331E-3</v>
      </c>
      <c r="P76" s="330">
        <f>$J$76</f>
        <v>2.9446407538280331E-3</v>
      </c>
      <c r="Q76" s="330">
        <f>$J$76</f>
        <v>2.9446407538280331E-3</v>
      </c>
      <c r="R76" s="330">
        <f>$J$76</f>
        <v>2.9446407538280331E-3</v>
      </c>
    </row>
    <row r="77" spans="1:19" hidden="1" x14ac:dyDescent="0.2">
      <c r="B77" s="176"/>
      <c r="G77" s="185"/>
      <c r="H77" s="185"/>
      <c r="I77" s="185"/>
    </row>
    <row r="78" spans="1:19" x14ac:dyDescent="0.2">
      <c r="B78" s="176" t="s">
        <v>198</v>
      </c>
      <c r="G78" s="185"/>
      <c r="H78" s="185"/>
      <c r="I78" s="153">
        <v>2472</v>
      </c>
      <c r="J78" s="153">
        <v>2515</v>
      </c>
      <c r="K78" s="153">
        <v>2937</v>
      </c>
      <c r="L78" s="153">
        <v>2796</v>
      </c>
      <c r="M78" s="153">
        <v>2781</v>
      </c>
      <c r="N78" s="331">
        <f>(1+N79)*M78</f>
        <v>2930.3325</v>
      </c>
      <c r="O78" s="331">
        <f>(1+O79)*N78</f>
        <v>3087.6837686286408</v>
      </c>
      <c r="P78" s="331">
        <f>(1+P79)*O78</f>
        <v>3253.4843930007141</v>
      </c>
      <c r="Q78" s="331">
        <f>(1+Q79)*P78</f>
        <v>3428.1880816442881</v>
      </c>
      <c r="R78" s="331">
        <f>(1+R79)*Q78</f>
        <v>3612.2729060607376</v>
      </c>
    </row>
    <row r="79" spans="1:19" x14ac:dyDescent="0.2">
      <c r="B79" s="188" t="s">
        <v>204</v>
      </c>
      <c r="G79" s="185"/>
      <c r="H79" s="183"/>
      <c r="I79" s="184">
        <v>0.09</v>
      </c>
      <c r="J79" s="329">
        <f>(J78-I78)/I78</f>
        <v>1.7394822006472493E-2</v>
      </c>
      <c r="K79" s="329">
        <f>(K78-J78)/J78</f>
        <v>0.16779324055666003</v>
      </c>
      <c r="L79" s="329">
        <f>(L78-K78)/K78</f>
        <v>-4.8008171603677222E-2</v>
      </c>
      <c r="M79" s="329">
        <f>(M78-L78)/L78</f>
        <v>-5.3648068669527897E-3</v>
      </c>
      <c r="N79" s="330">
        <f>($I$79+$J$79)/2</f>
        <v>5.3697411003236245E-2</v>
      </c>
      <c r="O79" s="330">
        <f>($I$79+$J$79)/2</f>
        <v>5.3697411003236245E-2</v>
      </c>
      <c r="P79" s="330">
        <f>($I$79+$J$79)/2</f>
        <v>5.3697411003236245E-2</v>
      </c>
      <c r="Q79" s="330">
        <f>($I$79+$J$79)/2</f>
        <v>5.3697411003236245E-2</v>
      </c>
      <c r="R79" s="330">
        <f>($I$79+$J$79)/2</f>
        <v>5.3697411003236245E-2</v>
      </c>
    </row>
    <row r="80" spans="1:19" hidden="1" x14ac:dyDescent="0.2">
      <c r="B80" s="176"/>
      <c r="G80" s="185"/>
      <c r="H80" s="185"/>
      <c r="I80" s="185"/>
      <c r="N80" s="184">
        <f>(I80+J80)/2</f>
        <v>0</v>
      </c>
    </row>
    <row r="81" spans="2:18" x14ac:dyDescent="0.2">
      <c r="B81" s="176" t="s">
        <v>199</v>
      </c>
      <c r="G81" s="185"/>
      <c r="H81" s="185"/>
      <c r="I81" s="153">
        <v>1257</v>
      </c>
      <c r="J81" s="153">
        <v>1208</v>
      </c>
      <c r="K81" s="153">
        <v>998</v>
      </c>
      <c r="L81" s="153">
        <v>960</v>
      </c>
      <c r="M81" s="153">
        <v>983</v>
      </c>
      <c r="N81" s="331">
        <f>(1+N82)*M81</f>
        <v>997.74499999999989</v>
      </c>
      <c r="O81" s="331">
        <f>(1+O82)*N81</f>
        <v>1012.7111749999998</v>
      </c>
      <c r="P81" s="331">
        <f>(1+P82)*O81</f>
        <v>1027.9018426249997</v>
      </c>
      <c r="Q81" s="331">
        <f>(1+Q82)*P81</f>
        <v>1043.3203702643746</v>
      </c>
      <c r="R81" s="331">
        <f>(1+R82)*Q81</f>
        <v>1058.9701758183401</v>
      </c>
    </row>
    <row r="82" spans="2:18" x14ac:dyDescent="0.2">
      <c r="B82" s="188" t="s">
        <v>204</v>
      </c>
      <c r="G82" s="185"/>
      <c r="H82" s="183"/>
      <c r="I82" s="184">
        <v>1.4999999999999999E-2</v>
      </c>
      <c r="J82" s="329">
        <f>(J81-I81)/I81</f>
        <v>-3.8981702466189337E-2</v>
      </c>
      <c r="K82" s="329">
        <f>(K81-J81)/J81</f>
        <v>-0.17384105960264901</v>
      </c>
      <c r="L82" s="329">
        <f>(L81-K81)/K81</f>
        <v>-3.8076152304609222E-2</v>
      </c>
      <c r="M82" s="329">
        <f>(M81-L81)/L81</f>
        <v>2.3958333333333335E-2</v>
      </c>
      <c r="N82" s="330">
        <f>$I$82</f>
        <v>1.4999999999999999E-2</v>
      </c>
      <c r="O82" s="330">
        <f>$I$82</f>
        <v>1.4999999999999999E-2</v>
      </c>
      <c r="P82" s="330">
        <f>$I$82</f>
        <v>1.4999999999999999E-2</v>
      </c>
      <c r="Q82" s="330">
        <f>$I$82</f>
        <v>1.4999999999999999E-2</v>
      </c>
      <c r="R82" s="330">
        <f>$I$82</f>
        <v>1.4999999999999999E-2</v>
      </c>
    </row>
    <row r="83" spans="2:18" hidden="1" x14ac:dyDescent="0.2">
      <c r="B83" s="176"/>
      <c r="G83" s="185"/>
      <c r="H83" s="185"/>
      <c r="I83" s="185"/>
    </row>
    <row r="84" spans="2:18" x14ac:dyDescent="0.2">
      <c r="B84" s="177" t="s">
        <v>200</v>
      </c>
      <c r="G84" s="186"/>
      <c r="H84" s="186"/>
      <c r="I84" s="153">
        <v>15209</v>
      </c>
      <c r="J84" s="153">
        <v>15022</v>
      </c>
      <c r="K84" s="153">
        <v>13822</v>
      </c>
      <c r="L84" s="153">
        <v>12931</v>
      </c>
      <c r="M84" s="153">
        <v>13162</v>
      </c>
      <c r="N84" s="153">
        <f>SUM(N69,N72,N75,N78,N81)</f>
        <v>13492.975847016303</v>
      </c>
      <c r="O84" s="153">
        <f>SUM(O69,O72,O75,O78,O81)</f>
        <v>13836.672761764079</v>
      </c>
      <c r="P84" s="153">
        <f>SUM(P69,P72,P75,P78,P81)</f>
        <v>14193.661645498531</v>
      </c>
      <c r="Q84" s="153">
        <f>SUM(Q69,Q72,Q75,Q78,Q81)</f>
        <v>14564.540931529617</v>
      </c>
      <c r="R84" s="153">
        <f>SUM(R69,R72,R75,R78,R81)</f>
        <v>14949.93796818448</v>
      </c>
    </row>
    <row r="85" spans="2:18" x14ac:dyDescent="0.2">
      <c r="B85" s="174"/>
      <c r="G85" s="186"/>
      <c r="H85" s="183"/>
      <c r="I85" s="183"/>
      <c r="J85" s="184"/>
      <c r="K85" s="184"/>
      <c r="L85" s="184"/>
      <c r="M85" s="184"/>
      <c r="N85" s="184"/>
    </row>
    <row r="86" spans="2:18" x14ac:dyDescent="0.2">
      <c r="B86" s="174"/>
      <c r="G86" s="186"/>
      <c r="H86" s="183"/>
      <c r="I86" s="183"/>
    </row>
    <row r="87" spans="2:18" x14ac:dyDescent="0.2">
      <c r="B87" s="177" t="s">
        <v>202</v>
      </c>
      <c r="G87" s="185"/>
      <c r="H87" s="185"/>
      <c r="I87" s="153">
        <v>2211</v>
      </c>
      <c r="J87" s="153">
        <v>2255</v>
      </c>
      <c r="K87" s="153">
        <v>2212</v>
      </c>
      <c r="L87" s="153">
        <v>2264</v>
      </c>
      <c r="M87" s="153">
        <v>2292</v>
      </c>
      <c r="N87" s="331">
        <f>(1+N88)*M87</f>
        <v>2320.3462897526506</v>
      </c>
      <c r="O87" s="331">
        <f>(1+O88)*N87</f>
        <v>2349.0431519934082</v>
      </c>
      <c r="P87" s="331">
        <f>(1+P88)*O87</f>
        <v>2378.0949224244223</v>
      </c>
      <c r="Q87" s="331">
        <f>(1+Q88)*P87</f>
        <v>2407.505990369601</v>
      </c>
      <c r="R87" s="331">
        <f>(1+R88)*Q87</f>
        <v>2437.2807994377763</v>
      </c>
    </row>
    <row r="88" spans="2:18" x14ac:dyDescent="0.2">
      <c r="B88" s="188" t="s">
        <v>204</v>
      </c>
      <c r="G88" s="185"/>
      <c r="H88" s="183"/>
      <c r="I88" s="184">
        <v>2.5000000000000001E-2</v>
      </c>
      <c r="J88" s="184">
        <f>(J87-I87)/I87</f>
        <v>1.9900497512437811E-2</v>
      </c>
      <c r="K88" s="184">
        <f>(K87-J87)/J87</f>
        <v>-1.9068736141906874E-2</v>
      </c>
      <c r="L88" s="184">
        <f>(L87-K87)/K87</f>
        <v>2.3508137432188065E-2</v>
      </c>
      <c r="M88" s="184">
        <f>(M87-L87)/L87</f>
        <v>1.2367491166077738E-2</v>
      </c>
      <c r="N88" s="330">
        <f>$M$88</f>
        <v>1.2367491166077738E-2</v>
      </c>
      <c r="O88" s="330">
        <f>$M$88</f>
        <v>1.2367491166077738E-2</v>
      </c>
      <c r="P88" s="330">
        <f>$M$88</f>
        <v>1.2367491166077738E-2</v>
      </c>
      <c r="Q88" s="330">
        <f>$M$88</f>
        <v>1.2367491166077738E-2</v>
      </c>
      <c r="R88" s="330">
        <f>$M$88</f>
        <v>1.2367491166077738E-2</v>
      </c>
    </row>
    <row r="89" spans="2:18" x14ac:dyDescent="0.2">
      <c r="B89" s="177"/>
      <c r="G89" s="185"/>
      <c r="H89" s="185"/>
      <c r="I89" s="185"/>
    </row>
    <row r="90" spans="2:18" ht="15.75" thickBot="1" x14ac:dyDescent="0.3">
      <c r="B90" s="178" t="s">
        <v>201</v>
      </c>
      <c r="C90" s="179"/>
      <c r="D90" s="179"/>
      <c r="E90" s="179"/>
      <c r="F90" s="179"/>
      <c r="G90" s="187"/>
      <c r="H90" s="187"/>
      <c r="I90" s="187">
        <v>17420</v>
      </c>
      <c r="J90" s="187">
        <v>17277</v>
      </c>
      <c r="K90" s="187">
        <v>16034</v>
      </c>
      <c r="L90" s="187">
        <v>15195</v>
      </c>
      <c r="M90" s="187">
        <v>15454</v>
      </c>
      <c r="N90" s="187">
        <f>N84+N87</f>
        <v>15813.322136768955</v>
      </c>
      <c r="O90" s="187">
        <f>O84+O87</f>
        <v>16185.715913757487</v>
      </c>
      <c r="P90" s="187">
        <f>P84+P87</f>
        <v>16571.756567922952</v>
      </c>
      <c r="Q90" s="187">
        <f>Q84+Q87</f>
        <v>16972.046921899218</v>
      </c>
      <c r="R90" s="187">
        <f>R84+R87</f>
        <v>17387.218767622257</v>
      </c>
    </row>
    <row r="91" spans="2:18" ht="15" thickTop="1" x14ac:dyDescent="0.2"/>
    <row r="93" spans="2:18" ht="15" x14ac:dyDescent="0.25">
      <c r="B93" s="238" t="s">
        <v>229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1"/>
  <sheetViews>
    <sheetView zoomScale="90" zoomScaleNormal="90" workbookViewId="0">
      <pane xSplit="2" ySplit="5" topLeftCell="I6" activePane="bottomRight" state="frozen"/>
      <selection pane="topRight" activeCell="C1" sqref="C1"/>
      <selection pane="bottomLeft" activeCell="A6" sqref="A6"/>
      <selection pane="bottomRight" activeCell="T16" sqref="T16"/>
    </sheetView>
  </sheetViews>
  <sheetFormatPr defaultRowHeight="14.25" x14ac:dyDescent="0.2"/>
  <cols>
    <col min="1" max="1" width="2.7109375" style="23" customWidth="1"/>
    <col min="2" max="2" width="36.28515625" style="23" customWidth="1"/>
    <col min="3" max="4" width="11.5703125" style="23" hidden="1" customWidth="1"/>
    <col min="5" max="8" width="12.28515625" style="23" hidden="1" customWidth="1"/>
    <col min="9" max="14" width="12.28515625" style="23" bestFit="1" customWidth="1"/>
    <col min="15" max="15" width="10.140625" style="23" bestFit="1" customWidth="1"/>
    <col min="16" max="16" width="10.5703125" style="23" bestFit="1" customWidth="1"/>
    <col min="17" max="17" width="10.140625" style="23" bestFit="1" customWidth="1"/>
    <col min="18" max="18" width="10.5703125" style="23" bestFit="1" customWidth="1"/>
    <col min="19" max="19" width="10.140625" style="23" bestFit="1" customWidth="1"/>
    <col min="20" max="16384" width="9.140625" style="23"/>
  </cols>
  <sheetData>
    <row r="1" spans="1:19" ht="23.25" x14ac:dyDescent="0.35">
      <c r="A1" s="22" t="str">
        <f>IS!A1</f>
        <v>Colgate-Palmolive Company</v>
      </c>
    </row>
    <row r="3" spans="1:19" ht="20.25" x14ac:dyDescent="0.3">
      <c r="A3" s="1" t="s">
        <v>20</v>
      </c>
    </row>
    <row r="5" spans="1:19" ht="15.75" thickBot="1" x14ac:dyDescent="0.3">
      <c r="B5" s="37"/>
      <c r="C5" s="61">
        <f>IS!C5</f>
        <v>39447</v>
      </c>
      <c r="D5" s="61">
        <f>IS!D5</f>
        <v>39813</v>
      </c>
      <c r="E5" s="61">
        <f>IS!E5</f>
        <v>40178</v>
      </c>
      <c r="F5" s="61">
        <f>IS!F5</f>
        <v>40543</v>
      </c>
      <c r="G5" s="61">
        <f>IS!G5</f>
        <v>40908</v>
      </c>
      <c r="H5" s="61">
        <f>IS!H5</f>
        <v>41274</v>
      </c>
      <c r="I5" s="61">
        <f>IS!I5</f>
        <v>41639</v>
      </c>
      <c r="J5" s="61">
        <f>IS!J5</f>
        <v>42004</v>
      </c>
      <c r="K5" s="61">
        <f>IS!K5</f>
        <v>42369</v>
      </c>
      <c r="L5" s="61">
        <f>IS!L5</f>
        <v>42735</v>
      </c>
      <c r="M5" s="61">
        <f>IS!M5</f>
        <v>43100</v>
      </c>
      <c r="N5" s="335">
        <f>IS!N5</f>
        <v>43465</v>
      </c>
      <c r="O5" s="335">
        <f>IS!O5</f>
        <v>43830</v>
      </c>
      <c r="P5" s="335">
        <f>IS!P5</f>
        <v>44196</v>
      </c>
      <c r="Q5" s="335">
        <f>IS!Q5</f>
        <v>44561</v>
      </c>
      <c r="R5" s="335">
        <f>IS!R5</f>
        <v>44926</v>
      </c>
      <c r="S5" s="61"/>
    </row>
    <row r="6" spans="1:19" ht="15" x14ac:dyDescent="0.25">
      <c r="B6" s="24" t="s">
        <v>21</v>
      </c>
    </row>
    <row r="7" spans="1:19" x14ac:dyDescent="0.2">
      <c r="B7" s="3" t="s">
        <v>22</v>
      </c>
    </row>
    <row r="8" spans="1:19" x14ac:dyDescent="0.2">
      <c r="B8" s="5" t="s">
        <v>23</v>
      </c>
      <c r="C8" s="48">
        <v>429</v>
      </c>
      <c r="D8" s="48">
        <v>555</v>
      </c>
      <c r="E8" s="48">
        <v>600</v>
      </c>
      <c r="F8" s="48">
        <v>490</v>
      </c>
      <c r="G8" s="48">
        <v>878</v>
      </c>
      <c r="H8" s="48">
        <v>884</v>
      </c>
      <c r="I8" s="48">
        <v>962</v>
      </c>
      <c r="J8" s="48">
        <v>1089</v>
      </c>
      <c r="K8" s="48">
        <v>970</v>
      </c>
      <c r="L8" s="48">
        <v>1315</v>
      </c>
      <c r="M8" s="48">
        <v>1535</v>
      </c>
      <c r="N8" s="209">
        <f ca="1">CF!N52</f>
        <v>2084.2216201053516</v>
      </c>
      <c r="O8" s="209">
        <f ca="1">CF!O52</f>
        <v>422.12224068435671</v>
      </c>
      <c r="P8" s="209">
        <f ca="1">CF!P52</f>
        <v>1141.9579120228243</v>
      </c>
      <c r="Q8" s="209">
        <f ca="1">CF!Q52</f>
        <v>465.20024797527344</v>
      </c>
      <c r="R8" s="209">
        <f ca="1">CF!R52</f>
        <v>975.22545062265158</v>
      </c>
    </row>
    <row r="9" spans="1:19" x14ac:dyDescent="0.2">
      <c r="B9" s="5" t="s">
        <v>231</v>
      </c>
      <c r="C9" s="48">
        <v>1681</v>
      </c>
      <c r="D9" s="48">
        <v>1592</v>
      </c>
      <c r="E9" s="48">
        <v>1626</v>
      </c>
      <c r="F9" s="49">
        <v>1610</v>
      </c>
      <c r="G9" s="49">
        <v>1675</v>
      </c>
      <c r="H9" s="49">
        <v>1668</v>
      </c>
      <c r="I9" s="49">
        <v>1636</v>
      </c>
      <c r="J9" s="49">
        <v>1552</v>
      </c>
      <c r="K9" s="49">
        <v>1427</v>
      </c>
      <c r="L9" s="49">
        <v>1411</v>
      </c>
      <c r="M9" s="49">
        <v>1480</v>
      </c>
      <c r="N9" s="209">
        <f ca="1">'Working Capital'!N10</f>
        <v>1545.6335650994213</v>
      </c>
      <c r="O9" s="209">
        <f ca="1">'Working Capital'!O10</f>
        <v>1582.0322621075143</v>
      </c>
      <c r="P9" s="209">
        <f ca="1">'Working Capital'!P10</f>
        <v>1619.764838944338</v>
      </c>
      <c r="Q9" s="209">
        <f ca="1">'Working Capital'!Q10</f>
        <v>1658.890216998368</v>
      </c>
      <c r="R9" s="209">
        <f ca="1">'Working Capital'!R10</f>
        <v>1699.470149189955</v>
      </c>
    </row>
    <row r="10" spans="1:19" x14ac:dyDescent="0.2">
      <c r="B10" s="5" t="s">
        <v>25</v>
      </c>
      <c r="C10" s="48">
        <v>1171</v>
      </c>
      <c r="D10" s="48">
        <v>1197</v>
      </c>
      <c r="E10" s="48">
        <v>1209</v>
      </c>
      <c r="F10" s="49">
        <v>1222</v>
      </c>
      <c r="G10" s="49">
        <v>1327</v>
      </c>
      <c r="H10" s="49">
        <v>1365</v>
      </c>
      <c r="I10" s="49">
        <v>1425</v>
      </c>
      <c r="J10" s="49">
        <v>1382</v>
      </c>
      <c r="K10" s="49">
        <v>1180</v>
      </c>
      <c r="L10" s="49">
        <v>1171</v>
      </c>
      <c r="M10" s="49">
        <v>1221</v>
      </c>
      <c r="N10" s="209">
        <f ca="1">'Working Capital'!N11</f>
        <v>1371.1838632133795</v>
      </c>
      <c r="O10" s="209">
        <f ca="1">'Working Capital'!O11</f>
        <v>1403.4743796116047</v>
      </c>
      <c r="P10" s="209">
        <f ca="1">'Working Capital'!P11</f>
        <v>1436.948225964562</v>
      </c>
      <c r="Q10" s="209">
        <f ca="1">'Working Capital'!Q11</f>
        <v>1471.6576734307587</v>
      </c>
      <c r="R10" s="209">
        <f ca="1">'Working Capital'!R11</f>
        <v>1507.6575051164909</v>
      </c>
    </row>
    <row r="11" spans="1:19" x14ac:dyDescent="0.2">
      <c r="B11" s="5" t="s">
        <v>26</v>
      </c>
      <c r="C11" s="50">
        <v>338</v>
      </c>
      <c r="D11" s="50">
        <v>366</v>
      </c>
      <c r="E11" s="50">
        <v>375</v>
      </c>
      <c r="F11" s="51">
        <v>408</v>
      </c>
      <c r="G11" s="51">
        <v>522</v>
      </c>
      <c r="H11" s="51">
        <v>639</v>
      </c>
      <c r="I11" s="51">
        <v>799</v>
      </c>
      <c r="J11" s="51">
        <v>840</v>
      </c>
      <c r="K11" s="51">
        <v>807</v>
      </c>
      <c r="L11" s="51">
        <v>441</v>
      </c>
      <c r="M11" s="51">
        <v>403</v>
      </c>
      <c r="N11" s="209">
        <f>'Working Capital'!N12</f>
        <v>474.39966410306863</v>
      </c>
      <c r="O11" s="209">
        <f>'Working Capital'!O12</f>
        <v>485.57147741272462</v>
      </c>
      <c r="P11" s="209">
        <f>'Working Capital'!P12</f>
        <v>497.15269703768854</v>
      </c>
      <c r="Q11" s="209">
        <f>'Working Capital'!Q12</f>
        <v>509.16140765697651</v>
      </c>
      <c r="R11" s="209">
        <f>'Working Capital'!R12</f>
        <v>521.61656302866766</v>
      </c>
    </row>
    <row r="12" spans="1:19" x14ac:dyDescent="0.2">
      <c r="B12" s="5" t="s">
        <v>27</v>
      </c>
      <c r="C12" s="42">
        <f>SUM(C8:C11)</f>
        <v>3619</v>
      </c>
      <c r="D12" s="42">
        <f>SUM(D8:D11)</f>
        <v>3710</v>
      </c>
      <c r="E12" s="42">
        <f>SUM(E8:E11)</f>
        <v>3810</v>
      </c>
      <c r="F12" s="42">
        <f>SUM(F8:F11)</f>
        <v>3730</v>
      </c>
      <c r="G12" s="42">
        <f>SUM(G8:G11)</f>
        <v>4402</v>
      </c>
      <c r="H12" s="42">
        <v>4556</v>
      </c>
      <c r="I12" s="42">
        <v>4822</v>
      </c>
      <c r="J12" s="42">
        <v>4863</v>
      </c>
      <c r="K12" s="42">
        <v>4384</v>
      </c>
      <c r="L12" s="42">
        <v>4338</v>
      </c>
      <c r="M12" s="42">
        <v>4639</v>
      </c>
      <c r="N12" s="12">
        <f ca="1">SUM(N8:N11)</f>
        <v>5475.4387125212215</v>
      </c>
      <c r="O12" s="12">
        <f ca="1">SUM(O8:O11)</f>
        <v>3893.2003598162</v>
      </c>
      <c r="P12" s="12">
        <f ca="1">SUM(P8:P11)</f>
        <v>4695.823673969413</v>
      </c>
      <c r="Q12" s="12">
        <f ca="1">SUM(Q8:Q11)</f>
        <v>4104.9095460613762</v>
      </c>
      <c r="R12" s="12">
        <f ca="1">SUM(R8:R11)</f>
        <v>4703.9696679577655</v>
      </c>
    </row>
    <row r="13" spans="1:19" x14ac:dyDescent="0.2">
      <c r="B13" s="3"/>
      <c r="C13" s="41"/>
      <c r="D13" s="41"/>
      <c r="E13" s="41"/>
      <c r="F13" s="9"/>
      <c r="G13" s="9"/>
      <c r="H13" s="9"/>
      <c r="I13" s="9"/>
      <c r="J13" s="209"/>
      <c r="K13" s="209"/>
      <c r="L13" s="209"/>
      <c r="M13" s="209"/>
      <c r="N13" s="9"/>
    </row>
    <row r="14" spans="1:19" x14ac:dyDescent="0.2">
      <c r="B14" s="3" t="s">
        <v>28</v>
      </c>
      <c r="C14" s="48">
        <v>3015</v>
      </c>
      <c r="D14" s="48">
        <v>3119</v>
      </c>
      <c r="E14" s="48">
        <v>3516</v>
      </c>
      <c r="F14" s="17">
        <v>3693</v>
      </c>
      <c r="G14" s="17">
        <v>3668</v>
      </c>
      <c r="H14" s="17">
        <v>3842</v>
      </c>
      <c r="I14" s="17">
        <v>4083</v>
      </c>
      <c r="J14" s="17">
        <v>4080</v>
      </c>
      <c r="K14" s="17">
        <v>3796</v>
      </c>
      <c r="L14" s="17">
        <v>3840</v>
      </c>
      <c r="M14" s="17">
        <v>4072</v>
      </c>
      <c r="N14" s="209">
        <f>'Dep Capex '!N13</f>
        <v>4278.5860033349136</v>
      </c>
      <c r="O14" s="209">
        <f>'Dep Capex '!O13</f>
        <v>4469.0069630984708</v>
      </c>
      <c r="P14" s="209">
        <f>'Dep Capex '!P13</f>
        <v>4643.0725579931886</v>
      </c>
      <c r="Q14" s="209">
        <f>'Dep Capex '!Q13</f>
        <v>4800.589501005139</v>
      </c>
      <c r="R14" s="209">
        <f>'Dep Capex '!R13</f>
        <v>4929.5667814880389</v>
      </c>
    </row>
    <row r="15" spans="1:19" x14ac:dyDescent="0.2">
      <c r="B15" s="3" t="s">
        <v>29</v>
      </c>
      <c r="C15" s="48">
        <v>2272</v>
      </c>
      <c r="D15" s="48">
        <v>2152</v>
      </c>
      <c r="E15" s="48">
        <v>2302</v>
      </c>
      <c r="F15" s="17">
        <v>2362</v>
      </c>
      <c r="G15" s="17">
        <v>2494</v>
      </c>
      <c r="H15" s="17">
        <v>2500</v>
      </c>
      <c r="I15" s="17">
        <v>2474</v>
      </c>
      <c r="J15" s="17">
        <v>2307</v>
      </c>
      <c r="K15" s="17">
        <v>2103</v>
      </c>
      <c r="L15" s="17">
        <v>2107</v>
      </c>
      <c r="M15" s="17">
        <v>2218</v>
      </c>
      <c r="N15" s="209">
        <f>$M$15</f>
        <v>2218</v>
      </c>
      <c r="O15" s="209">
        <f>$M$15</f>
        <v>2218</v>
      </c>
      <c r="P15" s="209">
        <f>$M$15</f>
        <v>2218</v>
      </c>
      <c r="Q15" s="209">
        <f>$M$15</f>
        <v>2218</v>
      </c>
      <c r="R15" s="209">
        <f>$M$15</f>
        <v>2218</v>
      </c>
    </row>
    <row r="16" spans="1:19" x14ac:dyDescent="0.2">
      <c r="B16" s="3" t="s">
        <v>30</v>
      </c>
      <c r="C16" s="48">
        <v>845</v>
      </c>
      <c r="D16" s="48">
        <v>834</v>
      </c>
      <c r="E16" s="48">
        <v>821</v>
      </c>
      <c r="F16" s="17">
        <v>831</v>
      </c>
      <c r="G16" s="17">
        <v>1504</v>
      </c>
      <c r="H16" s="17">
        <v>1499</v>
      </c>
      <c r="I16" s="17">
        <v>1496</v>
      </c>
      <c r="J16" s="17">
        <v>1413</v>
      </c>
      <c r="K16" s="17">
        <v>1346</v>
      </c>
      <c r="L16" s="17">
        <v>1313</v>
      </c>
      <c r="M16" s="17">
        <v>1341</v>
      </c>
      <c r="N16" s="209">
        <f>'Amort Intangible'!N14</f>
        <v>1306</v>
      </c>
      <c r="O16" s="209">
        <f>'Amort Intangible'!O14</f>
        <v>1271</v>
      </c>
      <c r="P16" s="209">
        <f>'Amort Intangible'!P14</f>
        <v>1236</v>
      </c>
      <c r="Q16" s="209">
        <f>'Amort Intangible'!Q14</f>
        <v>1201</v>
      </c>
      <c r="R16" s="209">
        <f>'Amort Intangible'!R14</f>
        <v>1166</v>
      </c>
    </row>
    <row r="17" spans="2:18" x14ac:dyDescent="0.2">
      <c r="B17" s="3" t="s">
        <v>31</v>
      </c>
      <c r="C17" s="48">
        <v>0</v>
      </c>
      <c r="D17" s="48">
        <v>0</v>
      </c>
      <c r="E17" s="48">
        <v>0</v>
      </c>
      <c r="F17" s="17">
        <v>84</v>
      </c>
      <c r="G17" s="17">
        <v>115</v>
      </c>
      <c r="H17" s="17">
        <v>92</v>
      </c>
      <c r="I17" s="17">
        <v>77</v>
      </c>
      <c r="J17" s="17">
        <v>76</v>
      </c>
      <c r="K17" s="17">
        <v>67</v>
      </c>
      <c r="L17" s="17">
        <v>301</v>
      </c>
      <c r="M17" s="17">
        <v>188</v>
      </c>
      <c r="N17" s="209">
        <f>'Other Long Term Asset Liability'!N8</f>
        <v>188</v>
      </c>
      <c r="O17" s="209">
        <f>'Other Long Term Asset Liability'!O8</f>
        <v>188</v>
      </c>
      <c r="P17" s="209">
        <f>'Other Long Term Asset Liability'!P8</f>
        <v>188</v>
      </c>
      <c r="Q17" s="209">
        <f>'Other Long Term Asset Liability'!Q8</f>
        <v>188</v>
      </c>
      <c r="R17" s="209">
        <f>'Other Long Term Asset Liability'!R8</f>
        <v>188</v>
      </c>
    </row>
    <row r="18" spans="2:18" x14ac:dyDescent="0.2">
      <c r="B18" s="5" t="s">
        <v>32</v>
      </c>
      <c r="C18" s="50">
        <v>361</v>
      </c>
      <c r="D18" s="50">
        <v>164</v>
      </c>
      <c r="E18" s="50">
        <v>685</v>
      </c>
      <c r="F18" s="51">
        <v>472</v>
      </c>
      <c r="G18" s="51">
        <v>541</v>
      </c>
      <c r="H18" s="51">
        <v>905</v>
      </c>
      <c r="I18" s="51">
        <v>924</v>
      </c>
      <c r="J18" s="51">
        <v>720</v>
      </c>
      <c r="K18" s="51">
        <v>262</v>
      </c>
      <c r="L18" s="51">
        <v>224</v>
      </c>
      <c r="M18" s="51">
        <v>218</v>
      </c>
      <c r="N18" s="197">
        <f>'Other Long Term Asset Liability'!N9</f>
        <v>218</v>
      </c>
      <c r="O18" s="197">
        <f>'Other Long Term Asset Liability'!O9</f>
        <v>218</v>
      </c>
      <c r="P18" s="197">
        <f>'Other Long Term Asset Liability'!P9</f>
        <v>218</v>
      </c>
      <c r="Q18" s="197">
        <f>'Other Long Term Asset Liability'!Q9</f>
        <v>218</v>
      </c>
      <c r="R18" s="197">
        <f>'Other Long Term Asset Liability'!R9</f>
        <v>218</v>
      </c>
    </row>
    <row r="19" spans="2:18" x14ac:dyDescent="0.2">
      <c r="B19" s="38" t="s">
        <v>33</v>
      </c>
      <c r="C19" s="41">
        <f>SUM(C12:C18)</f>
        <v>10112</v>
      </c>
      <c r="D19" s="41">
        <f>SUM(D12:D18)</f>
        <v>9979</v>
      </c>
      <c r="E19" s="41">
        <f>SUM(E12:E18)</f>
        <v>11134</v>
      </c>
      <c r="F19" s="41">
        <f>SUM(F12:F18)</f>
        <v>11172</v>
      </c>
      <c r="G19" s="41">
        <f>SUM(G12:G18)</f>
        <v>12724</v>
      </c>
      <c r="H19" s="41">
        <v>13394</v>
      </c>
      <c r="I19" s="41">
        <v>13876</v>
      </c>
      <c r="J19" s="41">
        <v>13459</v>
      </c>
      <c r="K19" s="41">
        <v>11958</v>
      </c>
      <c r="L19" s="41">
        <v>12123</v>
      </c>
      <c r="M19" s="41">
        <v>12676</v>
      </c>
      <c r="N19" s="41">
        <f ca="1">SUM(N12:N18)</f>
        <v>13684.024715856136</v>
      </c>
      <c r="O19" s="41">
        <f ca="1">SUM(O12:O18)</f>
        <v>12257.20732291467</v>
      </c>
      <c r="P19" s="41">
        <f ca="1">SUM(P12:P18)</f>
        <v>13198.896231962601</v>
      </c>
      <c r="Q19" s="41">
        <f ca="1">SUM(Q12:Q18)</f>
        <v>12730.499047066514</v>
      </c>
      <c r="R19" s="41">
        <f ca="1">SUM(R12:R18)</f>
        <v>13423.536449445804</v>
      </c>
    </row>
    <row r="20" spans="2:18" ht="15" thickBot="1" x14ac:dyDescent="0.25">
      <c r="B20" s="7"/>
      <c r="C20" s="45"/>
      <c r="D20" s="45"/>
      <c r="E20" s="4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</row>
    <row r="21" spans="2:18" ht="15" x14ac:dyDescent="0.25">
      <c r="B21" s="39" t="s">
        <v>34</v>
      </c>
      <c r="C21" s="41"/>
      <c r="D21" s="41"/>
      <c r="E21" s="41"/>
      <c r="F21" s="46"/>
      <c r="G21" s="46"/>
      <c r="H21" s="46"/>
      <c r="I21" s="46"/>
      <c r="J21" s="9"/>
      <c r="K21" s="9"/>
      <c r="L21" s="9"/>
      <c r="M21" s="9"/>
      <c r="N21" s="46"/>
      <c r="O21" s="46"/>
      <c r="P21" s="46"/>
      <c r="Q21" s="46"/>
      <c r="R21" s="46"/>
    </row>
    <row r="22" spans="2:18" x14ac:dyDescent="0.2">
      <c r="B22" s="3" t="s">
        <v>35</v>
      </c>
      <c r="C22" s="41"/>
      <c r="D22" s="41"/>
      <c r="E22" s="41"/>
      <c r="F22" s="9"/>
      <c r="G22" s="9"/>
      <c r="H22" s="9"/>
      <c r="I22" s="9"/>
      <c r="J22" s="48"/>
      <c r="K22" s="48"/>
      <c r="L22" s="48"/>
      <c r="M22" s="48"/>
      <c r="N22" s="9"/>
    </row>
    <row r="23" spans="2:18" x14ac:dyDescent="0.2">
      <c r="B23" s="5" t="s">
        <v>36</v>
      </c>
      <c r="C23" s="48">
        <v>156</v>
      </c>
      <c r="D23" s="48">
        <v>107</v>
      </c>
      <c r="E23" s="48">
        <v>35</v>
      </c>
      <c r="F23" s="48">
        <v>48</v>
      </c>
      <c r="G23" s="48">
        <v>34</v>
      </c>
      <c r="H23" s="48">
        <v>54</v>
      </c>
      <c r="I23" s="48">
        <v>13</v>
      </c>
      <c r="J23" s="48">
        <v>16</v>
      </c>
      <c r="K23" s="48">
        <v>4</v>
      </c>
      <c r="L23" s="48">
        <v>13</v>
      </c>
      <c r="M23" s="48">
        <v>11</v>
      </c>
      <c r="N23" s="209"/>
      <c r="O23" s="209"/>
      <c r="P23" s="209"/>
      <c r="Q23" s="209"/>
      <c r="R23" s="209"/>
    </row>
    <row r="24" spans="2:18" x14ac:dyDescent="0.2">
      <c r="B24" s="5" t="s">
        <v>37</v>
      </c>
      <c r="C24" s="48">
        <v>138</v>
      </c>
      <c r="D24" s="48">
        <v>91</v>
      </c>
      <c r="E24" s="48">
        <v>326</v>
      </c>
      <c r="F24" s="49">
        <v>561</v>
      </c>
      <c r="G24" s="49">
        <v>346</v>
      </c>
      <c r="H24" s="49">
        <v>250</v>
      </c>
      <c r="I24" s="49">
        <v>895</v>
      </c>
      <c r="J24" s="49">
        <v>488</v>
      </c>
      <c r="K24" s="49">
        <v>298</v>
      </c>
      <c r="L24" s="49">
        <v>0</v>
      </c>
      <c r="M24" s="49">
        <v>0</v>
      </c>
      <c r="N24" s="209">
        <f>Debt!K29</f>
        <v>1097</v>
      </c>
      <c r="O24" s="209">
        <f>Debt!L29</f>
        <v>248</v>
      </c>
      <c r="P24" s="209">
        <f>Debt!M29</f>
        <v>298</v>
      </c>
      <c r="Q24" s="209">
        <f>Debt!N29</f>
        <v>889</v>
      </c>
      <c r="R24" s="209">
        <f>Debt!O29</f>
        <v>3311</v>
      </c>
    </row>
    <row r="25" spans="2:18" x14ac:dyDescent="0.2">
      <c r="B25" s="5" t="s">
        <v>38</v>
      </c>
      <c r="C25" s="48">
        <v>1067</v>
      </c>
      <c r="D25" s="48">
        <v>1061</v>
      </c>
      <c r="E25" s="48">
        <v>1172</v>
      </c>
      <c r="F25" s="49">
        <v>1165</v>
      </c>
      <c r="G25" s="49">
        <v>1244</v>
      </c>
      <c r="H25" s="49">
        <v>1290</v>
      </c>
      <c r="I25" s="49">
        <v>1343</v>
      </c>
      <c r="J25" s="49">
        <v>1231</v>
      </c>
      <c r="K25" s="49">
        <v>1110</v>
      </c>
      <c r="L25" s="49">
        <v>1124</v>
      </c>
      <c r="M25" s="49">
        <v>1212</v>
      </c>
      <c r="N25" s="209">
        <f ca="1">'Working Capital'!N15</f>
        <v>1287.0263621802712</v>
      </c>
      <c r="O25" s="209">
        <f ca="1">'Working Capital'!O15</f>
        <v>1294.0470614608869</v>
      </c>
      <c r="P25" s="209">
        <f ca="1">'Working Capital'!P15</f>
        <v>1324.9902293986263</v>
      </c>
      <c r="Q25" s="209">
        <f ca="1">'Working Capital'!Q15</f>
        <v>1357.0772326504705</v>
      </c>
      <c r="R25" s="209">
        <f ca="1">'Working Capital'!R15</f>
        <v>1390.3588229635488</v>
      </c>
    </row>
    <row r="26" spans="2:18" x14ac:dyDescent="0.2">
      <c r="B26" s="5" t="s">
        <v>39</v>
      </c>
      <c r="C26" s="52">
        <v>263</v>
      </c>
      <c r="D26" s="52">
        <v>272</v>
      </c>
      <c r="E26" s="52">
        <v>387</v>
      </c>
      <c r="F26" s="49">
        <v>272</v>
      </c>
      <c r="G26" s="49">
        <v>392</v>
      </c>
      <c r="H26" s="49">
        <v>254</v>
      </c>
      <c r="I26" s="49">
        <v>239</v>
      </c>
      <c r="J26" s="49">
        <v>294</v>
      </c>
      <c r="K26" s="49">
        <v>277</v>
      </c>
      <c r="L26" s="49">
        <v>441</v>
      </c>
      <c r="M26" s="49">
        <v>354</v>
      </c>
      <c r="N26" s="209">
        <f>'Working Capital'!N16</f>
        <v>393.64435866073927</v>
      </c>
      <c r="O26" s="209">
        <f>'Working Capital'!O16</f>
        <v>402.91443538744113</v>
      </c>
      <c r="P26" s="209">
        <f>'Working Capital'!P16</f>
        <v>412.524226702107</v>
      </c>
      <c r="Q26" s="209">
        <f>'Working Capital'!Q16</f>
        <v>422.48873879553253</v>
      </c>
      <c r="R26" s="209">
        <f>'Working Capital'!R16</f>
        <v>432.82369899745208</v>
      </c>
    </row>
    <row r="27" spans="2:18" x14ac:dyDescent="0.2">
      <c r="B27" s="5" t="s">
        <v>40</v>
      </c>
      <c r="C27" s="50">
        <v>1539</v>
      </c>
      <c r="D27" s="50">
        <v>1421</v>
      </c>
      <c r="E27" s="50">
        <v>1679</v>
      </c>
      <c r="F27" s="51">
        <v>1682</v>
      </c>
      <c r="G27" s="51">
        <v>1700</v>
      </c>
      <c r="H27" s="51">
        <v>1888</v>
      </c>
      <c r="I27" s="51">
        <v>1980</v>
      </c>
      <c r="J27" s="51">
        <v>1917</v>
      </c>
      <c r="K27" s="51">
        <v>1845</v>
      </c>
      <c r="L27" s="51">
        <v>3305</v>
      </c>
      <c r="M27" s="51">
        <v>3408</v>
      </c>
      <c r="N27" s="209">
        <f>'Working Capital'!N17</f>
        <v>1968.2217933036964</v>
      </c>
      <c r="O27" s="209">
        <f>'Working Capital'!O17</f>
        <v>2014.5721769372055</v>
      </c>
      <c r="P27" s="209">
        <f>'Working Capital'!P17</f>
        <v>2062.6211335105349</v>
      </c>
      <c r="Q27" s="209">
        <f>'Working Capital'!Q17</f>
        <v>2112.4436939776624</v>
      </c>
      <c r="R27" s="209">
        <f>'Working Capital'!R17</f>
        <v>2164.1184949872604</v>
      </c>
    </row>
    <row r="28" spans="2:18" x14ac:dyDescent="0.2">
      <c r="B28" s="5" t="s">
        <v>41</v>
      </c>
      <c r="C28" s="44">
        <f>SUM(C23:C27)</f>
        <v>3163</v>
      </c>
      <c r="D28" s="44">
        <f>SUM(D23:D27)</f>
        <v>2952</v>
      </c>
      <c r="E28" s="44">
        <f>SUM(E23:E27)</f>
        <v>3599</v>
      </c>
      <c r="F28" s="44">
        <f>SUM(F23:F27)</f>
        <v>3728</v>
      </c>
      <c r="G28" s="44">
        <f>SUM(G23:G27)</f>
        <v>3716</v>
      </c>
      <c r="H28" s="44">
        <v>3736</v>
      </c>
      <c r="I28" s="44">
        <v>4470</v>
      </c>
      <c r="J28" s="44">
        <v>3946</v>
      </c>
      <c r="K28" s="44">
        <v>3534</v>
      </c>
      <c r="L28" s="44">
        <v>3305</v>
      </c>
      <c r="M28" s="44">
        <v>3408</v>
      </c>
      <c r="N28" s="342">
        <f ca="1">SUM(N25:N27)</f>
        <v>3648.8925141447071</v>
      </c>
      <c r="O28" s="342">
        <f ca="1">SUM(O25:O27)</f>
        <v>3711.5336737855332</v>
      </c>
      <c r="P28" s="342">
        <f ca="1">SUM(P25:P27)</f>
        <v>3800.1355896112682</v>
      </c>
      <c r="Q28" s="342">
        <f ca="1">SUM(Q25:Q27)</f>
        <v>3892.0096654236654</v>
      </c>
      <c r="R28" s="342">
        <f ca="1">SUM(R25:R27)</f>
        <v>3987.3010169482613</v>
      </c>
    </row>
    <row r="29" spans="2:18" x14ac:dyDescent="0.2">
      <c r="B29" s="3"/>
      <c r="C29" s="41"/>
      <c r="D29" s="41"/>
      <c r="E29" s="41"/>
      <c r="F29" s="9"/>
      <c r="G29" s="9"/>
      <c r="H29" s="9"/>
      <c r="I29" s="9"/>
      <c r="J29" s="9"/>
      <c r="K29" s="9"/>
      <c r="L29" s="9"/>
      <c r="M29" s="9"/>
      <c r="N29" s="9"/>
    </row>
    <row r="30" spans="2:18" s="225" customFormat="1" ht="15" x14ac:dyDescent="0.25">
      <c r="B30" s="39" t="s">
        <v>212</v>
      </c>
      <c r="C30" s="41"/>
      <c r="D30" s="41"/>
      <c r="E30" s="41"/>
      <c r="F30" s="9"/>
      <c r="G30" s="9"/>
      <c r="H30" s="9"/>
      <c r="I30" s="9"/>
      <c r="N30" s="9">
        <f ca="1">Debt!K20</f>
        <v>0</v>
      </c>
      <c r="O30" s="9">
        <f ca="1">Debt!L20</f>
        <v>0</v>
      </c>
      <c r="P30" s="9">
        <f ca="1">Debt!M20</f>
        <v>1531.9158240456486</v>
      </c>
      <c r="Q30" s="9">
        <f ca="1">Debt!N20</f>
        <v>1693.9943502791521</v>
      </c>
      <c r="R30" s="9">
        <f ca="1">Debt!O20</f>
        <v>3596.1312696488935</v>
      </c>
    </row>
    <row r="31" spans="2:18" x14ac:dyDescent="0.2">
      <c r="B31" s="3"/>
      <c r="C31" s="41"/>
      <c r="D31" s="41"/>
      <c r="E31" s="41"/>
      <c r="F31" s="9"/>
      <c r="G31" s="9"/>
      <c r="H31" s="9"/>
      <c r="I31" s="9"/>
      <c r="N31" s="9"/>
    </row>
    <row r="32" spans="2:18" x14ac:dyDescent="0.2">
      <c r="B32" s="3" t="s">
        <v>42</v>
      </c>
      <c r="C32" s="48">
        <v>3222</v>
      </c>
      <c r="D32" s="48">
        <v>3585</v>
      </c>
      <c r="E32" s="48">
        <v>2821</v>
      </c>
      <c r="F32" s="17">
        <v>2815</v>
      </c>
      <c r="G32" s="17">
        <v>4430</v>
      </c>
      <c r="H32" s="17">
        <v>4926</v>
      </c>
      <c r="I32" s="17">
        <v>4749</v>
      </c>
      <c r="J32" s="17">
        <v>5644</v>
      </c>
      <c r="K32" s="17">
        <v>6269</v>
      </c>
      <c r="L32" s="17">
        <v>6520</v>
      </c>
      <c r="M32" s="17">
        <v>6566</v>
      </c>
      <c r="N32" s="209">
        <f>Debt!K28</f>
        <v>5469</v>
      </c>
      <c r="O32" s="209">
        <f>Debt!L28</f>
        <v>5221</v>
      </c>
      <c r="P32" s="209">
        <f>Debt!M28</f>
        <v>4923</v>
      </c>
      <c r="Q32" s="209">
        <f>Debt!N28</f>
        <v>4034</v>
      </c>
      <c r="R32" s="209">
        <f>Debt!O28</f>
        <v>723</v>
      </c>
    </row>
    <row r="33" spans="2:18" x14ac:dyDescent="0.2">
      <c r="B33" s="3" t="s">
        <v>31</v>
      </c>
      <c r="C33" s="48">
        <v>264</v>
      </c>
      <c r="D33" s="48">
        <v>82</v>
      </c>
      <c r="E33" s="48">
        <v>82</v>
      </c>
      <c r="F33" s="17">
        <v>108</v>
      </c>
      <c r="G33" s="17">
        <v>252</v>
      </c>
      <c r="H33" s="17">
        <v>293</v>
      </c>
      <c r="I33" s="17">
        <v>444</v>
      </c>
      <c r="J33" s="17">
        <v>261</v>
      </c>
      <c r="K33" s="17">
        <v>233</v>
      </c>
      <c r="L33" s="17">
        <v>246</v>
      </c>
      <c r="M33" s="17">
        <v>204</v>
      </c>
      <c r="N33" s="209">
        <f>'Other Long Term Asset Liability'!N12</f>
        <v>204</v>
      </c>
      <c r="O33" s="209">
        <f>'Other Long Term Asset Liability'!O12</f>
        <v>204</v>
      </c>
      <c r="P33" s="209">
        <f>'Other Long Term Asset Liability'!P12</f>
        <v>204</v>
      </c>
      <c r="Q33" s="209">
        <f>'Other Long Term Asset Liability'!Q12</f>
        <v>204</v>
      </c>
      <c r="R33" s="209">
        <f>'Other Long Term Asset Liability'!R12</f>
        <v>204</v>
      </c>
    </row>
    <row r="34" spans="2:18" x14ac:dyDescent="0.2">
      <c r="B34" s="3" t="s">
        <v>43</v>
      </c>
      <c r="C34" s="50">
        <v>1067</v>
      </c>
      <c r="D34" s="50">
        <v>1316</v>
      </c>
      <c r="E34" s="50">
        <v>1375</v>
      </c>
      <c r="F34" s="18">
        <v>1704</v>
      </c>
      <c r="G34" s="18">
        <v>1785</v>
      </c>
      <c r="H34" s="18">
        <v>2049</v>
      </c>
      <c r="I34" s="18">
        <v>1677</v>
      </c>
      <c r="J34" s="18">
        <v>2223</v>
      </c>
      <c r="K34" s="18">
        <v>1966</v>
      </c>
      <c r="L34" s="18">
        <v>2035</v>
      </c>
      <c r="M34" s="18">
        <v>2255</v>
      </c>
      <c r="N34" s="209">
        <f>'Other Long Term Asset Liability'!N13</f>
        <v>2255</v>
      </c>
      <c r="O34" s="209">
        <f>'Other Long Term Asset Liability'!O13</f>
        <v>2255</v>
      </c>
      <c r="P34" s="209">
        <f>'Other Long Term Asset Liability'!P13</f>
        <v>2255</v>
      </c>
      <c r="Q34" s="209">
        <f>'Other Long Term Asset Liability'!Q13</f>
        <v>2255</v>
      </c>
      <c r="R34" s="209">
        <f>'Other Long Term Asset Liability'!R13</f>
        <v>2255</v>
      </c>
    </row>
    <row r="35" spans="2:18" x14ac:dyDescent="0.2">
      <c r="B35" s="38" t="s">
        <v>44</v>
      </c>
      <c r="C35" s="42">
        <f>SUM(C28:C34)</f>
        <v>7716</v>
      </c>
      <c r="D35" s="42">
        <f>SUM(D28:D34)</f>
        <v>7935</v>
      </c>
      <c r="E35" s="42">
        <f>SUM(E28:E34)</f>
        <v>7877</v>
      </c>
      <c r="F35" s="42">
        <f>SUM(F28:F34)</f>
        <v>8355</v>
      </c>
      <c r="G35" s="42">
        <f>SUM(G28:G34)</f>
        <v>10183</v>
      </c>
      <c r="H35" s="42">
        <v>11004</v>
      </c>
      <c r="I35" s="42">
        <v>11340</v>
      </c>
      <c r="J35" s="42">
        <v>12074</v>
      </c>
      <c r="K35" s="42">
        <v>12002</v>
      </c>
      <c r="L35" s="42">
        <v>12106</v>
      </c>
      <c r="M35" s="42">
        <v>12433</v>
      </c>
      <c r="N35" s="12">
        <f ca="1">SUM(N28:N34)</f>
        <v>11576.892514144707</v>
      </c>
      <c r="O35" s="12">
        <f ca="1">SUM(O28:O34)</f>
        <v>11391.533673785532</v>
      </c>
      <c r="P35" s="12">
        <f ca="1">SUM(P28:P34)</f>
        <v>12714.051413656916</v>
      </c>
      <c r="Q35" s="12">
        <f ca="1">SUM(Q28:Q34)</f>
        <v>12079.004015702818</v>
      </c>
      <c r="R35" s="12">
        <f ca="1">SUM(R28:R34)</f>
        <v>10765.432286597155</v>
      </c>
    </row>
    <row r="36" spans="2:18" x14ac:dyDescent="0.2">
      <c r="B36" s="6" t="s">
        <v>45</v>
      </c>
      <c r="C36" s="20" t="s">
        <v>58</v>
      </c>
      <c r="D36" s="20" t="s">
        <v>58</v>
      </c>
      <c r="E36" s="20" t="s">
        <v>58</v>
      </c>
      <c r="F36" s="20" t="s">
        <v>58</v>
      </c>
      <c r="G36" s="20" t="s">
        <v>58</v>
      </c>
      <c r="H36" s="20"/>
      <c r="I36" s="20"/>
      <c r="J36" s="9"/>
      <c r="K36" s="9"/>
      <c r="L36" s="9"/>
      <c r="M36" s="9"/>
      <c r="N36" s="20"/>
    </row>
    <row r="37" spans="2:18" x14ac:dyDescent="0.2">
      <c r="B37" s="3" t="s">
        <v>46</v>
      </c>
      <c r="C37" s="41"/>
      <c r="D37" s="41"/>
      <c r="E37" s="41"/>
      <c r="F37" s="9"/>
      <c r="G37" s="9"/>
      <c r="H37" s="9"/>
      <c r="I37" s="9"/>
      <c r="J37" s="20"/>
      <c r="K37" s="20"/>
      <c r="L37" s="20"/>
      <c r="M37" s="20"/>
      <c r="N37" s="9"/>
    </row>
    <row r="38" spans="2:18" hidden="1" x14ac:dyDescent="0.2">
      <c r="B38" s="5" t="s">
        <v>47</v>
      </c>
      <c r="C38" s="48">
        <v>198</v>
      </c>
      <c r="D38" s="48">
        <v>181</v>
      </c>
      <c r="E38" s="48">
        <v>169</v>
      </c>
      <c r="F38" s="20" t="s">
        <v>58</v>
      </c>
      <c r="G38" s="20" t="s">
        <v>58</v>
      </c>
      <c r="H38" s="20"/>
      <c r="I38" s="20"/>
      <c r="J38" s="49"/>
      <c r="K38" s="49"/>
      <c r="L38" s="49"/>
      <c r="M38" s="49"/>
      <c r="N38" s="20"/>
    </row>
    <row r="39" spans="2:18" hidden="1" x14ac:dyDescent="0.2">
      <c r="B39" s="5" t="s">
        <v>48</v>
      </c>
      <c r="C39" s="48">
        <v>733</v>
      </c>
      <c r="D39" s="48">
        <v>733</v>
      </c>
      <c r="E39" s="48">
        <v>733</v>
      </c>
      <c r="F39" s="49">
        <v>733</v>
      </c>
      <c r="G39" s="49">
        <v>733</v>
      </c>
      <c r="H39" s="49">
        <v>1466</v>
      </c>
      <c r="I39" s="49">
        <v>1466</v>
      </c>
      <c r="J39" s="49">
        <v>1466</v>
      </c>
      <c r="K39" s="49">
        <v>1466</v>
      </c>
      <c r="L39" s="49">
        <v>1466</v>
      </c>
      <c r="M39" s="49">
        <v>1466</v>
      </c>
      <c r="N39" s="49"/>
    </row>
    <row r="40" spans="2:18" hidden="1" x14ac:dyDescent="0.2">
      <c r="B40" s="5" t="s">
        <v>49</v>
      </c>
      <c r="C40" s="48">
        <v>1518</v>
      </c>
      <c r="D40" s="48">
        <v>1610</v>
      </c>
      <c r="E40" s="48">
        <v>1764</v>
      </c>
      <c r="F40" s="49">
        <v>1132</v>
      </c>
      <c r="G40" s="49">
        <v>1336</v>
      </c>
      <c r="H40" s="49">
        <v>818</v>
      </c>
      <c r="I40" s="49">
        <v>1004</v>
      </c>
      <c r="J40" s="49">
        <v>1236</v>
      </c>
      <c r="K40" s="49">
        <v>1438</v>
      </c>
      <c r="L40" s="49">
        <v>1691</v>
      </c>
      <c r="M40" s="49">
        <v>1984</v>
      </c>
      <c r="N40" s="49"/>
    </row>
    <row r="41" spans="2:18" hidden="1" x14ac:dyDescent="0.2">
      <c r="B41" s="5" t="s">
        <v>50</v>
      </c>
      <c r="C41" s="48">
        <v>10628</v>
      </c>
      <c r="D41" s="48">
        <v>11760</v>
      </c>
      <c r="E41" s="48">
        <v>13157</v>
      </c>
      <c r="F41" s="49">
        <v>14329</v>
      </c>
      <c r="G41" s="49">
        <v>15649</v>
      </c>
      <c r="H41" s="49">
        <v>16953</v>
      </c>
      <c r="I41" s="49">
        <v>17952</v>
      </c>
      <c r="J41" s="53">
        <v>18832</v>
      </c>
      <c r="K41" s="53">
        <v>18861</v>
      </c>
      <c r="L41" s="53">
        <v>19922</v>
      </c>
      <c r="M41" s="53">
        <v>20531</v>
      </c>
      <c r="N41" s="49"/>
    </row>
    <row r="42" spans="2:18" hidden="1" x14ac:dyDescent="0.2">
      <c r="B42" s="5" t="s">
        <v>51</v>
      </c>
      <c r="C42" s="52">
        <v>-1668</v>
      </c>
      <c r="D42" s="52">
        <v>-2477</v>
      </c>
      <c r="E42" s="52">
        <v>-2096</v>
      </c>
      <c r="F42" s="53">
        <v>-2115</v>
      </c>
      <c r="G42" s="53">
        <v>-2475</v>
      </c>
      <c r="H42" s="53">
        <v>-2621</v>
      </c>
      <c r="I42" s="53">
        <v>-2451</v>
      </c>
      <c r="J42" s="52">
        <v>-3507</v>
      </c>
      <c r="K42" s="52">
        <v>-3950</v>
      </c>
      <c r="L42" s="52">
        <v>-4180</v>
      </c>
      <c r="M42" s="52">
        <v>-3855</v>
      </c>
      <c r="N42" s="53"/>
    </row>
    <row r="43" spans="2:18" hidden="1" x14ac:dyDescent="0.2">
      <c r="B43" s="5" t="s">
        <v>52</v>
      </c>
      <c r="C43" s="52">
        <v>-219</v>
      </c>
      <c r="D43" s="52">
        <v>-187</v>
      </c>
      <c r="E43" s="52">
        <v>-133</v>
      </c>
      <c r="F43" s="52">
        <v>-99</v>
      </c>
      <c r="G43" s="52">
        <v>-60</v>
      </c>
      <c r="H43" s="52">
        <v>-41</v>
      </c>
      <c r="I43" s="52">
        <v>-33</v>
      </c>
      <c r="J43" s="50">
        <v>-20</v>
      </c>
      <c r="K43" s="50">
        <v>-12</v>
      </c>
      <c r="L43" s="50">
        <v>-7</v>
      </c>
      <c r="M43" s="50">
        <v>-5</v>
      </c>
      <c r="N43" s="52"/>
    </row>
    <row r="44" spans="2:18" hidden="1" x14ac:dyDescent="0.2">
      <c r="B44" s="5" t="s">
        <v>53</v>
      </c>
      <c r="C44" s="50">
        <v>-8904</v>
      </c>
      <c r="D44" s="50">
        <v>-9697</v>
      </c>
      <c r="E44" s="50">
        <v>-10478</v>
      </c>
      <c r="F44" s="50">
        <v>-11305</v>
      </c>
      <c r="G44" s="50">
        <v>-12808</v>
      </c>
      <c r="H44" s="50">
        <v>-14386</v>
      </c>
      <c r="I44" s="50">
        <v>-15633</v>
      </c>
      <c r="J44" s="196">
        <v>-16862</v>
      </c>
      <c r="K44" s="196">
        <v>-18102</v>
      </c>
      <c r="L44" s="196">
        <v>-19135</v>
      </c>
      <c r="M44" s="196">
        <v>-20181</v>
      </c>
      <c r="N44" s="50"/>
    </row>
    <row r="45" spans="2:18" ht="28.5" x14ac:dyDescent="0.2">
      <c r="B45" s="38" t="s">
        <v>54</v>
      </c>
      <c r="C45" s="42">
        <f>SUM(C38:C44)</f>
        <v>2286</v>
      </c>
      <c r="D45" s="42">
        <f>SUM(D38:D44)</f>
        <v>1923</v>
      </c>
      <c r="E45" s="42">
        <f>SUM(E38:E44)</f>
        <v>3116</v>
      </c>
      <c r="F45" s="42">
        <f>SUM(F38:F44)</f>
        <v>2675</v>
      </c>
      <c r="G45" s="42">
        <f>SUM(G38:G44)</f>
        <v>2375</v>
      </c>
      <c r="H45" s="42">
        <v>2189</v>
      </c>
      <c r="I45" s="42">
        <v>2305</v>
      </c>
      <c r="J45" s="42">
        <v>1145</v>
      </c>
      <c r="K45" s="42">
        <v>-299</v>
      </c>
      <c r="L45" s="42">
        <v>-243</v>
      </c>
      <c r="M45" s="42">
        <v>-60</v>
      </c>
      <c r="N45" s="196">
        <f ca="1">'Shareholders Equity'!N11</f>
        <v>-34.438411338419883</v>
      </c>
      <c r="O45" s="196">
        <f ca="1">'Shareholders Equity'!O11</f>
        <v>-292.34456791235471</v>
      </c>
      <c r="P45" s="196">
        <f ca="1">'Shareholders Equity'!P11</f>
        <v>-536.35977576967207</v>
      </c>
      <c r="Q45" s="196">
        <f ca="1">'Shareholders Equity'!Q11</f>
        <v>-766.99689899343844</v>
      </c>
      <c r="R45" s="196">
        <f ca="1">'Shareholders Equity'!R11</f>
        <v>-981.47010425737631</v>
      </c>
    </row>
    <row r="46" spans="2:18" x14ac:dyDescent="0.2">
      <c r="B46" s="5" t="s">
        <v>55</v>
      </c>
      <c r="C46" s="50">
        <v>110</v>
      </c>
      <c r="D46" s="50">
        <v>121</v>
      </c>
      <c r="E46" s="50">
        <v>141</v>
      </c>
      <c r="F46" s="49">
        <v>142</v>
      </c>
      <c r="G46" s="49">
        <v>166</v>
      </c>
      <c r="H46" s="49">
        <v>201</v>
      </c>
      <c r="I46" s="49">
        <v>231</v>
      </c>
      <c r="J46" s="49">
        <v>240</v>
      </c>
      <c r="K46" s="49">
        <v>255</v>
      </c>
      <c r="L46" s="49">
        <v>260</v>
      </c>
      <c r="M46" s="49">
        <v>303</v>
      </c>
      <c r="N46" s="196">
        <f>M47+IS!N18</f>
        <v>396.4876614802215</v>
      </c>
      <c r="O46" s="196">
        <f ca="1">N47+IS!O18</f>
        <v>519.15144938236222</v>
      </c>
      <c r="P46" s="196">
        <f ca="1">O47+IS!P18</f>
        <v>387.65607813031829</v>
      </c>
      <c r="Q46" s="196">
        <f ca="1">P47+IS!Q18</f>
        <v>16.030807232192927</v>
      </c>
      <c r="R46" s="196">
        <f ca="1">Q47+IS!R18</f>
        <v>-582.20183557234043</v>
      </c>
    </row>
    <row r="47" spans="2:18" x14ac:dyDescent="0.2">
      <c r="B47" s="6" t="s">
        <v>56</v>
      </c>
      <c r="C47" s="47">
        <f>SUM(C45:C46)</f>
        <v>2396</v>
      </c>
      <c r="D47" s="47">
        <f>SUM(D45:D46)</f>
        <v>2044</v>
      </c>
      <c r="E47" s="47">
        <f>SUM(E45:E46)</f>
        <v>3257</v>
      </c>
      <c r="F47" s="47">
        <f>SUM(F45:F46)</f>
        <v>2817</v>
      </c>
      <c r="G47" s="47">
        <f>SUM(G45:G46)</f>
        <v>2541</v>
      </c>
      <c r="H47" s="47">
        <v>2390</v>
      </c>
      <c r="I47" s="47">
        <v>2536</v>
      </c>
      <c r="J47" s="47">
        <v>1385</v>
      </c>
      <c r="K47" s="47">
        <v>-44</v>
      </c>
      <c r="L47" s="47">
        <v>17</v>
      </c>
      <c r="M47" s="47">
        <v>243</v>
      </c>
      <c r="N47" s="47">
        <f ca="1">SUM(N45:N46)</f>
        <v>362.04925014180162</v>
      </c>
      <c r="O47" s="47">
        <f ca="1">SUM(O45:O46)</f>
        <v>226.80688147000751</v>
      </c>
      <c r="P47" s="47">
        <f ca="1">SUM(P45:P46)</f>
        <v>-148.70369763935378</v>
      </c>
      <c r="Q47" s="47">
        <f ca="1">SUM(Q45:Q46)</f>
        <v>-750.96609176124548</v>
      </c>
      <c r="R47" s="47">
        <f ca="1">SUM(R45:R46)</f>
        <v>-1563.6719398297168</v>
      </c>
    </row>
    <row r="48" spans="2:18" ht="28.5" x14ac:dyDescent="0.2">
      <c r="B48" s="38" t="s">
        <v>57</v>
      </c>
      <c r="C48" s="41">
        <f>C47+C35</f>
        <v>10112</v>
      </c>
      <c r="D48" s="41">
        <f>D47+D35</f>
        <v>9979</v>
      </c>
      <c r="E48" s="41">
        <f>E47+E35</f>
        <v>11134</v>
      </c>
      <c r="F48" s="41">
        <f>F47+F35</f>
        <v>11172</v>
      </c>
      <c r="G48" s="41">
        <f>G47+G35</f>
        <v>12724</v>
      </c>
      <c r="H48" s="41">
        <v>13394</v>
      </c>
      <c r="I48" s="41">
        <v>13876</v>
      </c>
      <c r="J48" s="41">
        <v>13459</v>
      </c>
      <c r="K48" s="41">
        <v>11958</v>
      </c>
      <c r="L48" s="41">
        <v>12123</v>
      </c>
      <c r="M48" s="41">
        <v>12676</v>
      </c>
      <c r="N48" s="41">
        <f ca="1">N35+N47</f>
        <v>11938.941764286508</v>
      </c>
      <c r="O48" s="41">
        <f ca="1">O35+O47</f>
        <v>11618.34055525554</v>
      </c>
      <c r="P48" s="41">
        <f ca="1">P35+P47</f>
        <v>12565.347716017563</v>
      </c>
      <c r="Q48" s="41">
        <f ca="1">Q35+Q47</f>
        <v>11328.037923941572</v>
      </c>
      <c r="R48" s="41">
        <f ca="1">R35+R47</f>
        <v>9201.760346767438</v>
      </c>
    </row>
    <row r="49" spans="2:18" ht="15" thickBot="1" x14ac:dyDescent="0.25">
      <c r="B49" s="40"/>
      <c r="C49" s="43"/>
      <c r="D49" s="43"/>
      <c r="E49" s="43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</row>
    <row r="50" spans="2:18" x14ac:dyDescent="0.2">
      <c r="J50" s="83"/>
      <c r="K50" s="83"/>
    </row>
    <row r="51" spans="2:18" x14ac:dyDescent="0.2">
      <c r="B51" s="23" t="s">
        <v>112</v>
      </c>
      <c r="J51" s="54"/>
      <c r="L51" s="83"/>
      <c r="M51" s="83"/>
      <c r="N51" s="83">
        <f ca="1">N19-N48</f>
        <v>1745.0829515696278</v>
      </c>
      <c r="O51" s="83">
        <f ca="1">O19-O48</f>
        <v>638.86676765913035</v>
      </c>
      <c r="P51" s="83">
        <f ca="1">P19-P48</f>
        <v>633.54851594503816</v>
      </c>
      <c r="Q51" s="83">
        <f ca="1">Q19-Q48</f>
        <v>1402.4611231249419</v>
      </c>
      <c r="R51" s="83">
        <f ca="1">R19-R48</f>
        <v>4221.7761026783664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S59"/>
  <sheetViews>
    <sheetView zoomScale="80" zoomScaleNormal="80" workbookViewId="0">
      <pane xSplit="2" ySplit="5" topLeftCell="C35" activePane="bottomRight" state="frozen"/>
      <selection pane="topRight" activeCell="C1" sqref="C1"/>
      <selection pane="bottomLeft" activeCell="A6" sqref="A6"/>
      <selection pane="bottomRight" activeCell="N46" sqref="N46"/>
    </sheetView>
  </sheetViews>
  <sheetFormatPr defaultRowHeight="12.75" x14ac:dyDescent="0.2"/>
  <cols>
    <col min="1" max="1" width="1.85546875" style="55" customWidth="1"/>
    <col min="2" max="2" width="44.85546875" style="55" customWidth="1"/>
    <col min="3" max="3" width="0.140625" style="55" customWidth="1"/>
    <col min="4" max="5" width="10.28515625" style="55" hidden="1" customWidth="1"/>
    <col min="6" max="7" width="10.28515625" style="57" hidden="1" customWidth="1"/>
    <col min="8" max="8" width="10.5703125" style="56" hidden="1" customWidth="1"/>
    <col min="9" max="9" width="10.5703125" style="55" customWidth="1"/>
    <col min="10" max="10" width="10.5703125" style="55" bestFit="1" customWidth="1"/>
    <col min="11" max="13" width="10" style="55" bestFit="1" customWidth="1"/>
    <col min="14" max="14" width="9.28515625" style="55" bestFit="1" customWidth="1"/>
    <col min="15" max="15" width="10" style="55" bestFit="1" customWidth="1"/>
    <col min="16" max="16" width="10.28515625" style="55" bestFit="1" customWidth="1"/>
    <col min="17" max="17" width="10" style="55" bestFit="1" customWidth="1"/>
    <col min="18" max="18" width="10.28515625" style="55" bestFit="1" customWidth="1"/>
    <col min="19" max="19" width="10" style="55" bestFit="1" customWidth="1"/>
    <col min="20" max="16384" width="9.140625" style="55"/>
  </cols>
  <sheetData>
    <row r="1" spans="1:19" ht="23.25" x14ac:dyDescent="0.35">
      <c r="A1" s="22" t="str">
        <f>IS!A1</f>
        <v>Colgate-Palmolive Company</v>
      </c>
    </row>
    <row r="2" spans="1:19" s="23" customFormat="1" ht="14.25" x14ac:dyDescent="0.2"/>
    <row r="3" spans="1:19" s="23" customFormat="1" ht="20.25" x14ac:dyDescent="0.3">
      <c r="A3" s="1" t="s">
        <v>97</v>
      </c>
    </row>
    <row r="4" spans="1:19" s="23" customFormat="1" ht="14.25" x14ac:dyDescent="0.2"/>
    <row r="5" spans="1:19" ht="15.75" thickBot="1" x14ac:dyDescent="0.3">
      <c r="B5" s="62"/>
      <c r="C5" s="61">
        <f>BS!C5</f>
        <v>39447</v>
      </c>
      <c r="D5" s="61">
        <f>BS!D5</f>
        <v>39813</v>
      </c>
      <c r="E5" s="61">
        <f>BS!E5</f>
        <v>40178</v>
      </c>
      <c r="F5" s="61">
        <f>BS!F5</f>
        <v>40543</v>
      </c>
      <c r="G5" s="61">
        <f>BS!G5</f>
        <v>40908</v>
      </c>
      <c r="H5" s="61">
        <f>BS!H5</f>
        <v>41274</v>
      </c>
      <c r="I5" s="61">
        <f>BS!I5</f>
        <v>41639</v>
      </c>
      <c r="J5" s="61">
        <f>BS!J5</f>
        <v>42004</v>
      </c>
      <c r="K5" s="61">
        <f>BS!K5</f>
        <v>42369</v>
      </c>
      <c r="L5" s="61">
        <f>BS!L5</f>
        <v>42735</v>
      </c>
      <c r="M5" s="61">
        <f>BS!M5</f>
        <v>43100</v>
      </c>
      <c r="N5" s="335">
        <f>BS!N5</f>
        <v>43465</v>
      </c>
      <c r="O5" s="335">
        <f>BS!O5</f>
        <v>43830</v>
      </c>
      <c r="P5" s="335">
        <f>BS!P5</f>
        <v>44196</v>
      </c>
      <c r="Q5" s="335">
        <f>BS!Q5</f>
        <v>44561</v>
      </c>
      <c r="R5" s="335">
        <f>BS!R5</f>
        <v>44926</v>
      </c>
      <c r="S5" s="61"/>
    </row>
    <row r="6" spans="1:19" ht="15" x14ac:dyDescent="0.25">
      <c r="B6" s="63" t="s">
        <v>59</v>
      </c>
      <c r="C6" s="62"/>
      <c r="D6" s="62"/>
      <c r="E6" s="62"/>
      <c r="F6" s="62"/>
      <c r="G6" s="62"/>
      <c r="H6" s="63"/>
    </row>
    <row r="7" spans="1:19" ht="14.25" x14ac:dyDescent="0.2">
      <c r="B7" s="62" t="s">
        <v>60</v>
      </c>
      <c r="C7" s="62"/>
      <c r="D7" s="62"/>
      <c r="E7" s="62"/>
      <c r="F7" s="64">
        <v>2313</v>
      </c>
      <c r="G7" s="64">
        <v>2554</v>
      </c>
      <c r="H7" s="64"/>
      <c r="I7" s="212">
        <v>2410</v>
      </c>
      <c r="J7" s="212">
        <v>2339</v>
      </c>
      <c r="K7" s="212">
        <v>1548</v>
      </c>
      <c r="L7" s="212">
        <v>2586</v>
      </c>
      <c r="M7" s="212">
        <v>2174</v>
      </c>
      <c r="N7" s="212">
        <f ca="1">IS!N19</f>
        <v>1885.2052955386002</v>
      </c>
      <c r="O7" s="212">
        <f ca="1">IS!O19</f>
        <v>1950.312811420217</v>
      </c>
      <c r="P7" s="212">
        <f ca="1">IS!P19</f>
        <v>1996.6159738089416</v>
      </c>
      <c r="Q7" s="212">
        <f ca="1">IS!Q19</f>
        <v>2041.2095892541117</v>
      </c>
      <c r="R7" s="212">
        <f ca="1">IS!R19</f>
        <v>2095.0893157868732</v>
      </c>
    </row>
    <row r="8" spans="1:19" ht="14.25" x14ac:dyDescent="0.2">
      <c r="B8" s="62" t="s">
        <v>232</v>
      </c>
      <c r="C8" s="62"/>
      <c r="D8" s="62"/>
      <c r="E8" s="62"/>
      <c r="F8" s="65"/>
      <c r="G8" s="62"/>
      <c r="H8" s="62"/>
      <c r="I8" s="213"/>
      <c r="J8" s="213"/>
      <c r="K8" s="213"/>
      <c r="L8" s="213"/>
      <c r="M8" s="213"/>
      <c r="N8" s="213"/>
    </row>
    <row r="9" spans="1:19" ht="14.25" x14ac:dyDescent="0.2">
      <c r="B9" s="62" t="s">
        <v>61</v>
      </c>
      <c r="C9" s="62"/>
      <c r="D9" s="62"/>
      <c r="E9" s="62"/>
      <c r="F9" s="65"/>
      <c r="G9" s="62"/>
      <c r="H9" s="62"/>
      <c r="I9" s="213"/>
      <c r="J9" s="213"/>
      <c r="K9" s="213"/>
      <c r="L9" s="213"/>
      <c r="M9" s="213"/>
      <c r="N9" s="213"/>
    </row>
    <row r="10" spans="1:19" ht="14.25" x14ac:dyDescent="0.2">
      <c r="B10" s="66" t="s">
        <v>62</v>
      </c>
      <c r="C10" s="62"/>
      <c r="D10" s="62"/>
      <c r="E10" s="62"/>
      <c r="F10" s="67">
        <v>376</v>
      </c>
      <c r="G10" s="68">
        <v>421</v>
      </c>
      <c r="H10" s="68"/>
      <c r="I10" s="209">
        <v>439</v>
      </c>
      <c r="J10" s="209">
        <v>442</v>
      </c>
      <c r="K10" s="209">
        <v>449</v>
      </c>
      <c r="L10" s="209">
        <v>443</v>
      </c>
      <c r="M10" s="209">
        <v>475</v>
      </c>
      <c r="N10" s="209">
        <f>-('Amort Intangible'!N12 + 'Dep Capex '!N12)</f>
        <v>460.94688213584521</v>
      </c>
      <c r="O10" s="209">
        <f>-('Amort Intangible'!O12 + 'Dep Capex '!O12)</f>
        <v>492.00767678674197</v>
      </c>
      <c r="P10" s="209">
        <f>-('Amort Intangible'!P12 + 'Dep Capex '!P12)</f>
        <v>523.80466782220037</v>
      </c>
      <c r="Q10" s="209">
        <f>-('Amort Intangible'!Q12 + 'Dep Capex '!Q12)</f>
        <v>556.36493386401844</v>
      </c>
      <c r="R10" s="209">
        <f>-('Amort Intangible'!R12 + 'Dep Capex '!R12)</f>
        <v>601.51147022199063</v>
      </c>
    </row>
    <row r="11" spans="1:19" ht="14.25" x14ac:dyDescent="0.2">
      <c r="B11" s="66" t="s">
        <v>63</v>
      </c>
      <c r="C11" s="62"/>
      <c r="D11" s="62"/>
      <c r="E11" s="62"/>
      <c r="F11" s="69">
        <v>86</v>
      </c>
      <c r="G11" s="68">
        <v>103</v>
      </c>
      <c r="H11" s="68"/>
      <c r="I11" s="213">
        <v>182</v>
      </c>
      <c r="J11" s="213">
        <v>64</v>
      </c>
      <c r="K11" s="213">
        <v>69</v>
      </c>
      <c r="L11" s="213">
        <v>-9</v>
      </c>
      <c r="M11" s="213">
        <v>91</v>
      </c>
      <c r="N11" s="213"/>
    </row>
    <row r="12" spans="1:19" ht="14.25" x14ac:dyDescent="0.2">
      <c r="B12" s="66" t="s">
        <v>64</v>
      </c>
      <c r="C12" s="62"/>
      <c r="D12" s="62"/>
      <c r="E12" s="62"/>
      <c r="F12" s="67">
        <v>271</v>
      </c>
      <c r="G12" s="70">
        <v>0</v>
      </c>
      <c r="H12" s="70"/>
      <c r="I12" s="214">
        <v>172</v>
      </c>
      <c r="J12" s="214">
        <v>327</v>
      </c>
      <c r="K12" s="214">
        <v>34</v>
      </c>
      <c r="L12" s="214" t="s">
        <v>58</v>
      </c>
      <c r="M12" s="214">
        <v>0</v>
      </c>
      <c r="N12" s="214"/>
    </row>
    <row r="13" spans="1:19" ht="14.25" x14ac:dyDescent="0.2">
      <c r="B13" s="66" t="s">
        <v>65</v>
      </c>
      <c r="C13" s="62"/>
      <c r="D13" s="62"/>
      <c r="E13" s="62"/>
      <c r="F13" s="71">
        <v>-50</v>
      </c>
      <c r="G13" s="71">
        <v>-207</v>
      </c>
      <c r="H13" s="70"/>
      <c r="I13" s="214" t="s">
        <v>58</v>
      </c>
      <c r="J13" s="214">
        <v>-2</v>
      </c>
      <c r="K13" s="214" t="s">
        <v>58</v>
      </c>
      <c r="L13" s="214"/>
      <c r="M13" s="214">
        <v>127</v>
      </c>
      <c r="N13" s="214"/>
    </row>
    <row r="14" spans="1:19" ht="14.25" x14ac:dyDescent="0.2">
      <c r="B14" s="66" t="s">
        <v>66</v>
      </c>
      <c r="C14" s="62"/>
      <c r="D14" s="62"/>
      <c r="E14" s="62"/>
      <c r="F14" s="71">
        <v>-35</v>
      </c>
      <c r="G14" s="71">
        <v>-178</v>
      </c>
      <c r="H14" s="71"/>
      <c r="I14" s="215">
        <v>-101</v>
      </c>
      <c r="J14" s="215">
        <v>66</v>
      </c>
      <c r="K14" s="214" t="s">
        <v>58</v>
      </c>
      <c r="L14" s="215">
        <v>-53</v>
      </c>
      <c r="M14" s="215">
        <v>0</v>
      </c>
      <c r="N14" s="215"/>
    </row>
    <row r="15" spans="1:19" ht="14.25" x14ac:dyDescent="0.2">
      <c r="B15" s="66" t="s">
        <v>290</v>
      </c>
      <c r="C15" s="62"/>
      <c r="D15" s="62"/>
      <c r="E15" s="62"/>
      <c r="F15" s="71"/>
      <c r="G15" s="71"/>
      <c r="H15" s="71"/>
      <c r="I15" s="214" t="s">
        <v>58</v>
      </c>
      <c r="J15" s="215"/>
      <c r="K15" s="214" t="s">
        <v>58</v>
      </c>
      <c r="L15" s="214" t="s">
        <v>58</v>
      </c>
      <c r="M15" s="215"/>
      <c r="N15" s="215"/>
    </row>
    <row r="16" spans="1:19" ht="14.25" x14ac:dyDescent="0.2">
      <c r="B16" s="66" t="s">
        <v>67</v>
      </c>
      <c r="C16" s="62"/>
      <c r="D16" s="62"/>
      <c r="E16" s="62"/>
      <c r="F16" s="67">
        <v>121</v>
      </c>
      <c r="G16" s="68">
        <v>122</v>
      </c>
      <c r="H16" s="68"/>
      <c r="I16" s="213">
        <v>128</v>
      </c>
      <c r="J16" s="213">
        <v>131</v>
      </c>
      <c r="K16" s="214">
        <v>125</v>
      </c>
      <c r="L16" s="213">
        <v>123</v>
      </c>
      <c r="M16" s="213">
        <v>0</v>
      </c>
      <c r="N16" s="213"/>
    </row>
    <row r="17" spans="1:18" ht="14.25" x14ac:dyDescent="0.2">
      <c r="B17" s="66" t="s">
        <v>288</v>
      </c>
      <c r="C17" s="62"/>
      <c r="D17" s="62"/>
      <c r="E17" s="62"/>
      <c r="F17" s="67"/>
      <c r="G17" s="68"/>
      <c r="H17" s="68"/>
      <c r="I17" s="213"/>
      <c r="J17" s="213"/>
      <c r="K17" s="214" t="s">
        <v>58</v>
      </c>
      <c r="L17" s="213">
        <v>-97</v>
      </c>
      <c r="M17" s="213"/>
      <c r="N17" s="213"/>
    </row>
    <row r="18" spans="1:18" ht="14.25" x14ac:dyDescent="0.2">
      <c r="B18" s="66" t="s">
        <v>287</v>
      </c>
      <c r="C18" s="62"/>
      <c r="D18" s="62"/>
      <c r="E18" s="62"/>
      <c r="F18" s="67"/>
      <c r="G18" s="68"/>
      <c r="H18" s="68"/>
      <c r="I18" s="213"/>
      <c r="J18" s="213"/>
      <c r="K18" s="214">
        <v>-187</v>
      </c>
      <c r="L18" s="214" t="s">
        <v>58</v>
      </c>
      <c r="M18" s="213"/>
      <c r="N18" s="213"/>
    </row>
    <row r="19" spans="1:18" ht="14.25" x14ac:dyDescent="0.2">
      <c r="B19" s="66" t="s">
        <v>289</v>
      </c>
      <c r="C19" s="62"/>
      <c r="D19" s="62"/>
      <c r="E19" s="62"/>
      <c r="F19" s="67"/>
      <c r="G19" s="68"/>
      <c r="H19" s="68"/>
      <c r="I19" s="213"/>
      <c r="J19" s="213"/>
      <c r="K19" s="214">
        <v>1084</v>
      </c>
      <c r="L19" s="214" t="s">
        <v>58</v>
      </c>
      <c r="M19" s="213"/>
      <c r="N19" s="213"/>
    </row>
    <row r="20" spans="1:18" ht="14.25" x14ac:dyDescent="0.2">
      <c r="B20" s="66" t="s">
        <v>31</v>
      </c>
      <c r="C20" s="62"/>
      <c r="D20" s="62"/>
      <c r="E20" s="62"/>
      <c r="F20" s="67">
        <v>29</v>
      </c>
      <c r="G20" s="68">
        <v>88</v>
      </c>
      <c r="H20" s="68"/>
      <c r="I20" s="213">
        <v>71</v>
      </c>
      <c r="J20" s="213">
        <v>18</v>
      </c>
      <c r="K20" s="213">
        <v>-51</v>
      </c>
      <c r="L20" s="213">
        <v>56</v>
      </c>
      <c r="M20" s="213">
        <v>0</v>
      </c>
      <c r="N20" s="213"/>
    </row>
    <row r="21" spans="1:18" ht="14.25" x14ac:dyDescent="0.2">
      <c r="B21" s="62" t="s">
        <v>68</v>
      </c>
      <c r="C21" s="62"/>
      <c r="D21" s="62"/>
      <c r="E21" s="62"/>
      <c r="F21" s="72"/>
      <c r="G21" s="62"/>
      <c r="H21" s="62"/>
      <c r="I21" s="213"/>
      <c r="J21" s="213"/>
      <c r="K21" s="213"/>
      <c r="L21" s="213"/>
      <c r="M21" s="213"/>
      <c r="N21" s="213"/>
    </row>
    <row r="22" spans="1:18" ht="14.25" x14ac:dyDescent="0.2">
      <c r="B22" s="66" t="s">
        <v>69</v>
      </c>
      <c r="C22" s="62"/>
      <c r="D22" s="62"/>
      <c r="E22" s="62"/>
      <c r="F22" s="67">
        <v>40</v>
      </c>
      <c r="G22" s="67">
        <v>-130</v>
      </c>
      <c r="H22" s="67"/>
      <c r="I22" s="216">
        <v>-37</v>
      </c>
      <c r="J22" s="216">
        <v>-109</v>
      </c>
      <c r="K22" s="216">
        <v>-75</v>
      </c>
      <c r="L22" s="216">
        <v>-17</v>
      </c>
      <c r="M22" s="216">
        <v>108</v>
      </c>
      <c r="N22" s="209">
        <f ca="1">'Working Capital'!N36</f>
        <v>-65.633565099421276</v>
      </c>
      <c r="O22" s="209">
        <f ca="1">'Working Capital'!O36</f>
        <v>-36.398697008092995</v>
      </c>
      <c r="P22" s="209">
        <f ca="1">'Working Capital'!P36</f>
        <v>-37.732576836823682</v>
      </c>
      <c r="Q22" s="209">
        <f ca="1">'Working Capital'!Q36</f>
        <v>-39.12537805403008</v>
      </c>
      <c r="R22" s="209">
        <f ca="1">'Working Capital'!R36</f>
        <v>-40.579932191586977</v>
      </c>
    </row>
    <row r="23" spans="1:18" ht="14.25" x14ac:dyDescent="0.2">
      <c r="B23" s="66" t="s">
        <v>70</v>
      </c>
      <c r="C23" s="62"/>
      <c r="D23" s="62"/>
      <c r="E23" s="62"/>
      <c r="F23" s="67">
        <v>-10</v>
      </c>
      <c r="G23" s="67">
        <v>-130</v>
      </c>
      <c r="H23" s="67"/>
      <c r="I23" s="216">
        <v>-97</v>
      </c>
      <c r="J23" s="216">
        <v>-60</v>
      </c>
      <c r="K23" s="216">
        <v>-13</v>
      </c>
      <c r="L23" s="216">
        <v>-4</v>
      </c>
      <c r="M23" s="216">
        <v>-81</v>
      </c>
      <c r="N23" s="209">
        <f ca="1">'Working Capital'!N37</f>
        <v>-150.18386321337948</v>
      </c>
      <c r="O23" s="209">
        <f ca="1">'Working Capital'!O37</f>
        <v>-32.290516398225236</v>
      </c>
      <c r="P23" s="209">
        <f ca="1">'Working Capital'!P37</f>
        <v>-33.473846352957253</v>
      </c>
      <c r="Q23" s="209">
        <f ca="1">'Working Capital'!Q37</f>
        <v>-34.709447466196707</v>
      </c>
      <c r="R23" s="209">
        <f ca="1">'Working Capital'!R37</f>
        <v>-35.999831685732261</v>
      </c>
    </row>
    <row r="24" spans="1:18" ht="14.25" x14ac:dyDescent="0.2">
      <c r="A24" s="59"/>
      <c r="B24" s="73" t="s">
        <v>71</v>
      </c>
      <c r="C24" s="74"/>
      <c r="D24" s="74"/>
      <c r="E24" s="74"/>
      <c r="F24" s="75">
        <v>-65</v>
      </c>
      <c r="G24" s="76">
        <v>199</v>
      </c>
      <c r="H24" s="67"/>
      <c r="I24" s="216">
        <v>24</v>
      </c>
      <c r="J24" s="216">
        <v>57</v>
      </c>
      <c r="K24" s="216">
        <v>-67</v>
      </c>
      <c r="L24" s="216">
        <v>100</v>
      </c>
      <c r="M24" s="216"/>
      <c r="N24" s="209">
        <f ca="1">SUM('Working Capital'!N39:N41)</f>
        <v>1325.1074858552931</v>
      </c>
      <c r="O24" s="209">
        <f ca="1">SUM('Working Capital'!O39:O41)</f>
        <v>-62.641159640826686</v>
      </c>
      <c r="P24" s="209">
        <f ca="1">SUM('Working Capital'!P39:P41)</f>
        <v>-88.601915825734693</v>
      </c>
      <c r="Q24" s="209">
        <f ca="1">SUM('Working Capital'!Q39:Q41)</f>
        <v>-91.874075812397166</v>
      </c>
      <c r="R24" s="209">
        <f ca="1">SUM('Working Capital'!R39:R41)</f>
        <v>-95.291351524595939</v>
      </c>
    </row>
    <row r="25" spans="1:18" ht="14.25" x14ac:dyDescent="0.2">
      <c r="B25" s="66" t="s">
        <v>72</v>
      </c>
      <c r="C25" s="62"/>
      <c r="D25" s="62"/>
      <c r="E25" s="62"/>
      <c r="F25" s="77">
        <v>135</v>
      </c>
      <c r="G25" s="68">
        <v>54</v>
      </c>
      <c r="H25" s="68"/>
      <c r="I25" s="209">
        <v>13</v>
      </c>
      <c r="J25" s="209">
        <v>25</v>
      </c>
      <c r="K25" s="209">
        <v>33</v>
      </c>
      <c r="L25" s="209">
        <v>13</v>
      </c>
      <c r="M25" s="209">
        <v>-15</v>
      </c>
      <c r="N25" s="209">
        <f>'Working Capital'!N38+'Working Capital'!N40</f>
        <v>-111.0440227638079</v>
      </c>
      <c r="O25" s="209">
        <f>'Working Capital'!O38+'Working Capital'!O40</f>
        <v>-20.441890036357847</v>
      </c>
      <c r="P25" s="209">
        <f>'Working Capital'!P38+'Working Capital'!P40</f>
        <v>-21.191010939629791</v>
      </c>
      <c r="Q25" s="209">
        <f>'Working Capital'!Q38+'Working Capital'!Q40</f>
        <v>-21.973222712713493</v>
      </c>
      <c r="R25" s="209">
        <f>'Working Capital'!R38+'Working Capital'!R40</f>
        <v>-22.790115573610706</v>
      </c>
    </row>
    <row r="26" spans="1:18" s="59" customFormat="1" ht="14.25" x14ac:dyDescent="0.2">
      <c r="A26" s="55"/>
      <c r="B26" s="62" t="s">
        <v>73</v>
      </c>
      <c r="C26" s="62"/>
      <c r="D26" s="62"/>
      <c r="E26" s="62"/>
      <c r="F26" s="78">
        <f>SUM(F7:F25)</f>
        <v>3211</v>
      </c>
      <c r="G26" s="78">
        <f>SUM(G7:G25)</f>
        <v>2896</v>
      </c>
      <c r="H26" s="78"/>
      <c r="I26" s="78">
        <v>3204</v>
      </c>
      <c r="J26" s="78">
        <v>3298</v>
      </c>
      <c r="K26" s="78">
        <v>2949</v>
      </c>
      <c r="L26" s="78">
        <v>3141</v>
      </c>
      <c r="M26" s="78">
        <v>3054</v>
      </c>
      <c r="N26" s="78">
        <f ca="1">SUM(N7:N25)</f>
        <v>3344.3982124531299</v>
      </c>
      <c r="O26" s="78">
        <f ca="1">SUM(O7:O25)</f>
        <v>2290.5482251234566</v>
      </c>
      <c r="P26" s="78">
        <f ca="1">SUM(P7:P25)</f>
        <v>2339.4212916759961</v>
      </c>
      <c r="Q26" s="78">
        <f ca="1">SUM(Q7:Q25)</f>
        <v>2409.8923990727926</v>
      </c>
      <c r="R26" s="78">
        <f ca="1">SUM(R7:R25)</f>
        <v>2501.9395550333379</v>
      </c>
    </row>
    <row r="27" spans="1:18" ht="14.25" x14ac:dyDescent="0.2"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</row>
    <row r="28" spans="1:18" ht="15" x14ac:dyDescent="0.25">
      <c r="B28" s="63" t="s">
        <v>74</v>
      </c>
      <c r="C28" s="62"/>
      <c r="D28" s="62"/>
      <c r="E28" s="62"/>
      <c r="F28" s="72" t="s">
        <v>75</v>
      </c>
      <c r="G28" s="62"/>
      <c r="H28" s="62"/>
      <c r="I28" s="62"/>
      <c r="J28" s="62"/>
      <c r="K28" s="62"/>
      <c r="L28" s="62"/>
      <c r="M28" s="62"/>
      <c r="N28" s="62"/>
    </row>
    <row r="29" spans="1:18" ht="14.25" x14ac:dyDescent="0.2">
      <c r="B29" s="66" t="s">
        <v>76</v>
      </c>
      <c r="C29" s="62"/>
      <c r="D29" s="62"/>
      <c r="E29" s="62"/>
      <c r="F29" s="67">
        <v>-550</v>
      </c>
      <c r="G29" s="67">
        <v>-537</v>
      </c>
      <c r="H29" s="67"/>
      <c r="I29" s="67">
        <v>-670</v>
      </c>
      <c r="J29" s="67">
        <v>-757</v>
      </c>
      <c r="K29" s="67">
        <v>-691</v>
      </c>
      <c r="L29" s="67">
        <v>-593</v>
      </c>
      <c r="M29" s="67">
        <v>-553</v>
      </c>
      <c r="N29" s="216">
        <f>-('Dep Capex '!N7+'Amort Intangible'!N7)</f>
        <v>-632.53288547075817</v>
      </c>
      <c r="O29" s="216">
        <f>-('Dep Capex '!O7+'Amort Intangible'!O7)</f>
        <v>-647.42863655029953</v>
      </c>
      <c r="P29" s="216">
        <f>-('Dep Capex '!P7+'Amort Intangible'!P7)</f>
        <v>-662.87026271691809</v>
      </c>
      <c r="Q29" s="216">
        <f>-('Dep Capex '!Q7+'Amort Intangible'!Q7)</f>
        <v>-678.88187687596871</v>
      </c>
      <c r="R29" s="216">
        <f>-('Dep Capex '!R7+'Amort Intangible'!R7)</f>
        <v>-695.48875070489032</v>
      </c>
    </row>
    <row r="30" spans="1:18" ht="14.25" x14ac:dyDescent="0.2">
      <c r="B30" s="66" t="s">
        <v>77</v>
      </c>
      <c r="C30" s="62"/>
      <c r="D30" s="62"/>
      <c r="E30" s="62"/>
      <c r="F30" s="69">
        <v>42</v>
      </c>
      <c r="G30" s="68">
        <v>263</v>
      </c>
      <c r="H30" s="68"/>
      <c r="I30" s="69">
        <v>15</v>
      </c>
      <c r="J30" s="69">
        <v>24</v>
      </c>
      <c r="K30" s="69">
        <v>9</v>
      </c>
      <c r="L30" s="68">
        <v>0</v>
      </c>
      <c r="M30" s="69">
        <v>44</v>
      </c>
      <c r="N30" s="213"/>
    </row>
    <row r="31" spans="1:18" ht="14.25" x14ac:dyDescent="0.2">
      <c r="B31" s="66" t="s">
        <v>78</v>
      </c>
      <c r="C31" s="62"/>
      <c r="D31" s="62"/>
      <c r="E31" s="62"/>
      <c r="F31" s="67">
        <v>-308</v>
      </c>
      <c r="G31" s="67">
        <v>-356</v>
      </c>
      <c r="H31" s="67"/>
      <c r="I31" s="67">
        <v>-505</v>
      </c>
      <c r="J31" s="67">
        <v>-340</v>
      </c>
      <c r="K31" s="67">
        <v>-742</v>
      </c>
      <c r="L31" s="67">
        <v>-336</v>
      </c>
      <c r="M31" s="67">
        <v>-347</v>
      </c>
      <c r="N31" s="216"/>
    </row>
    <row r="32" spans="1:18" ht="14.25" x14ac:dyDescent="0.2">
      <c r="B32" s="66" t="s">
        <v>79</v>
      </c>
      <c r="C32" s="62"/>
      <c r="D32" s="62"/>
      <c r="E32" s="62"/>
      <c r="F32" s="67">
        <v>167</v>
      </c>
      <c r="G32" s="68">
        <v>423</v>
      </c>
      <c r="H32" s="68"/>
      <c r="I32" s="67">
        <v>267</v>
      </c>
      <c r="J32" s="67">
        <v>283</v>
      </c>
      <c r="K32" s="67">
        <v>599</v>
      </c>
      <c r="L32" s="68">
        <v>378</v>
      </c>
      <c r="M32" s="67">
        <v>391</v>
      </c>
      <c r="N32" s="213"/>
    </row>
    <row r="33" spans="2:18" ht="14.25" x14ac:dyDescent="0.2">
      <c r="B33" s="66" t="s">
        <v>80</v>
      </c>
      <c r="C33" s="62"/>
      <c r="D33" s="62"/>
      <c r="E33" s="62"/>
      <c r="F33" s="70">
        <v>0</v>
      </c>
      <c r="G33" s="67">
        <v>-966</v>
      </c>
      <c r="H33" s="67"/>
      <c r="I33" s="70">
        <v>-3</v>
      </c>
      <c r="J33" s="70">
        <v>-87</v>
      </c>
      <c r="K33" s="70" t="s">
        <v>58</v>
      </c>
      <c r="L33" s="67">
        <v>60</v>
      </c>
      <c r="M33" s="70">
        <v>0</v>
      </c>
      <c r="N33" s="216"/>
    </row>
    <row r="34" spans="2:18" ht="14.25" x14ac:dyDescent="0.2">
      <c r="B34" s="66" t="s">
        <v>81</v>
      </c>
      <c r="C34" s="62"/>
      <c r="D34" s="62"/>
      <c r="E34" s="62"/>
      <c r="F34" s="77">
        <v>-9</v>
      </c>
      <c r="G34" s="67">
        <v>-40</v>
      </c>
      <c r="H34" s="67"/>
      <c r="I34" s="77">
        <v>6</v>
      </c>
      <c r="J34" s="77">
        <v>18</v>
      </c>
      <c r="K34" s="77">
        <v>221</v>
      </c>
      <c r="L34" s="67">
        <v>0</v>
      </c>
      <c r="M34" s="77">
        <v>0</v>
      </c>
      <c r="N34" s="216"/>
    </row>
    <row r="35" spans="2:18" ht="14.25" x14ac:dyDescent="0.2">
      <c r="B35" s="62" t="s">
        <v>82</v>
      </c>
      <c r="C35" s="62"/>
      <c r="D35" s="62"/>
      <c r="E35" s="62"/>
      <c r="F35" s="78">
        <f>SUM(F29:F34)</f>
        <v>-658</v>
      </c>
      <c r="G35" s="78">
        <f>SUM(G29:G34)</f>
        <v>-1213</v>
      </c>
      <c r="H35" s="78"/>
      <c r="I35" s="78">
        <v>-890</v>
      </c>
      <c r="J35" s="78">
        <v>-859</v>
      </c>
      <c r="K35" s="78">
        <v>-685</v>
      </c>
      <c r="L35" s="78">
        <v>-499</v>
      </c>
      <c r="M35" s="78">
        <v>-471</v>
      </c>
      <c r="N35" s="78">
        <f>SUM(N29:N34)</f>
        <v>-632.53288547075817</v>
      </c>
      <c r="O35" s="78">
        <f>SUM(O29:O34)</f>
        <v>-647.42863655029953</v>
      </c>
      <c r="P35" s="78">
        <f>SUM(P29:P34)</f>
        <v>-662.87026271691809</v>
      </c>
      <c r="Q35" s="78">
        <f>SUM(Q29:Q34)</f>
        <v>-678.88187687596871</v>
      </c>
      <c r="R35" s="78">
        <f>SUM(R29:R34)</f>
        <v>-695.48875070489032</v>
      </c>
    </row>
    <row r="36" spans="2:18" ht="14.25" x14ac:dyDescent="0.2">
      <c r="B36" s="62"/>
      <c r="C36" s="62"/>
      <c r="D36" s="62"/>
      <c r="E36" s="62"/>
      <c r="F36" s="72"/>
      <c r="G36" s="62"/>
      <c r="H36" s="62"/>
      <c r="I36" s="62"/>
      <c r="J36" s="62"/>
      <c r="K36" s="62"/>
      <c r="L36" s="62"/>
      <c r="M36" s="62"/>
      <c r="N36" s="62"/>
    </row>
    <row r="37" spans="2:18" ht="15" x14ac:dyDescent="0.25">
      <c r="B37" s="63" t="s">
        <v>210</v>
      </c>
      <c r="C37" s="62"/>
      <c r="D37" s="62"/>
      <c r="E37" s="62"/>
      <c r="F37" s="72">
        <f>F35+F26</f>
        <v>2553</v>
      </c>
      <c r="G37" s="72">
        <f>G35+G26</f>
        <v>1683</v>
      </c>
      <c r="H37" s="72"/>
      <c r="I37" s="216">
        <f>I26+I35</f>
        <v>2314</v>
      </c>
      <c r="J37" s="216">
        <f t="shared" ref="J37:R37" si="0">J26+J35</f>
        <v>2439</v>
      </c>
      <c r="K37" s="216">
        <f t="shared" si="0"/>
        <v>2264</v>
      </c>
      <c r="L37" s="216">
        <f t="shared" si="0"/>
        <v>2642</v>
      </c>
      <c r="M37" s="216">
        <f t="shared" si="0"/>
        <v>2583</v>
      </c>
      <c r="N37" s="216">
        <f t="shared" ca="1" si="0"/>
        <v>2711.8653269823717</v>
      </c>
      <c r="O37" s="216">
        <f t="shared" ca="1" si="0"/>
        <v>1643.1195885731572</v>
      </c>
      <c r="P37" s="216">
        <f t="shared" ca="1" si="0"/>
        <v>1676.5510289590779</v>
      </c>
      <c r="Q37" s="216">
        <f t="shared" ca="1" si="0"/>
        <v>1731.0105221968238</v>
      </c>
      <c r="R37" s="216">
        <f t="shared" ca="1" si="0"/>
        <v>1806.4508043284477</v>
      </c>
    </row>
    <row r="38" spans="2:18" ht="14.25" x14ac:dyDescent="0.2">
      <c r="B38" s="62"/>
      <c r="C38" s="62"/>
      <c r="D38" s="62"/>
      <c r="E38" s="62"/>
      <c r="F38" s="72"/>
      <c r="G38" s="62"/>
      <c r="H38" s="62"/>
      <c r="N38" s="62"/>
    </row>
    <row r="39" spans="2:18" ht="15" x14ac:dyDescent="0.25">
      <c r="B39" s="63" t="s">
        <v>83</v>
      </c>
      <c r="C39" s="62"/>
      <c r="D39" s="62"/>
      <c r="E39" s="62"/>
      <c r="F39" s="72" t="s">
        <v>75</v>
      </c>
      <c r="G39" s="62"/>
      <c r="H39" s="62"/>
      <c r="N39" s="62"/>
    </row>
    <row r="40" spans="2:18" ht="14.25" x14ac:dyDescent="0.2">
      <c r="B40" s="66" t="s">
        <v>84</v>
      </c>
      <c r="C40" s="62"/>
      <c r="D40" s="62"/>
      <c r="E40" s="62"/>
      <c r="F40" s="67">
        <v>-4719</v>
      </c>
      <c r="G40" s="67">
        <v>-4429</v>
      </c>
      <c r="H40" s="67"/>
      <c r="I40" s="67">
        <v>-7554</v>
      </c>
      <c r="J40" s="67">
        <v>-8525</v>
      </c>
      <c r="K40" s="67">
        <v>-9181</v>
      </c>
      <c r="L40" s="67">
        <v>-7274</v>
      </c>
      <c r="M40" s="67">
        <v>-4808</v>
      </c>
      <c r="N40" s="216">
        <f>Debt!K14</f>
        <v>0</v>
      </c>
      <c r="O40" s="216">
        <f>Debt!L14</f>
        <v>-1097</v>
      </c>
      <c r="P40" s="216">
        <f>Debt!M14</f>
        <v>-248</v>
      </c>
      <c r="Q40" s="216">
        <f>Debt!N14</f>
        <v>-298</v>
      </c>
      <c r="R40" s="216">
        <f>Debt!O14</f>
        <v>-889</v>
      </c>
    </row>
    <row r="41" spans="2:18" ht="14.25" x14ac:dyDescent="0.2">
      <c r="B41" s="66" t="s">
        <v>85</v>
      </c>
      <c r="C41" s="62"/>
      <c r="D41" s="62"/>
      <c r="E41" s="62"/>
      <c r="F41" s="67">
        <v>5015</v>
      </c>
      <c r="G41" s="67">
        <v>5843</v>
      </c>
      <c r="H41" s="67"/>
      <c r="I41" s="67">
        <v>7976</v>
      </c>
      <c r="J41" s="67">
        <v>8960</v>
      </c>
      <c r="K41" s="67">
        <v>9602</v>
      </c>
      <c r="L41" s="67">
        <v>7438</v>
      </c>
      <c r="M41" s="67">
        <v>4779</v>
      </c>
      <c r="N41" s="216"/>
    </row>
    <row r="42" spans="2:18" ht="14.25" x14ac:dyDescent="0.2">
      <c r="B42" s="66" t="s">
        <v>212</v>
      </c>
      <c r="C42" s="62"/>
      <c r="D42" s="62"/>
      <c r="E42" s="62"/>
      <c r="F42" s="67"/>
      <c r="G42" s="67"/>
      <c r="H42" s="67"/>
      <c r="I42" s="67"/>
      <c r="J42" s="67"/>
      <c r="K42" s="67"/>
      <c r="L42" s="67"/>
      <c r="M42" s="67"/>
      <c r="N42" s="216">
        <f ca="1">Debt!K19</f>
        <v>0</v>
      </c>
      <c r="O42" s="216">
        <f ca="1">Debt!L19</f>
        <v>0</v>
      </c>
      <c r="P42" s="216">
        <f ca="1">Debt!M19</f>
        <v>1531.9158240456486</v>
      </c>
      <c r="Q42" s="216">
        <f ca="1">Debt!N19</f>
        <v>162.07852623350345</v>
      </c>
      <c r="R42" s="216">
        <f ca="1">Debt!O19</f>
        <v>1902.1369193697415</v>
      </c>
    </row>
    <row r="43" spans="2:18" ht="14.25" x14ac:dyDescent="0.2">
      <c r="B43" s="66" t="s">
        <v>86</v>
      </c>
      <c r="C43" s="62"/>
      <c r="D43" s="62"/>
      <c r="E43" s="62"/>
      <c r="F43" s="67">
        <v>-1142</v>
      </c>
      <c r="G43" s="67">
        <v>-1203</v>
      </c>
      <c r="H43" s="67"/>
      <c r="I43" s="67">
        <v>-1382</v>
      </c>
      <c r="J43" s="67">
        <v>-1446</v>
      </c>
      <c r="K43" s="67">
        <v>-1493</v>
      </c>
      <c r="L43" s="67">
        <v>-1508</v>
      </c>
      <c r="M43" s="67">
        <v>-1529</v>
      </c>
      <c r="N43" s="216">
        <f ca="1">'Shareholders Equity'!N9</f>
        <v>-1319.6437068770201</v>
      </c>
      <c r="O43" s="216">
        <f ca="1">'Shareholders Equity'!O9</f>
        <v>-1365.2189679941519</v>
      </c>
      <c r="P43" s="216">
        <f ca="1">'Shareholders Equity'!P9</f>
        <v>-1397.631181666259</v>
      </c>
      <c r="Q43" s="216">
        <f ca="1">'Shareholders Equity'!Q9</f>
        <v>-1428.8467124778781</v>
      </c>
      <c r="R43" s="216">
        <f ca="1">'Shareholders Equity'!R9</f>
        <v>-1466.562521050811</v>
      </c>
    </row>
    <row r="44" spans="2:18" ht="14.25" x14ac:dyDescent="0.2">
      <c r="B44" s="66" t="s">
        <v>87</v>
      </c>
      <c r="C44" s="62"/>
      <c r="D44" s="62"/>
      <c r="E44" s="62"/>
      <c r="F44" s="67">
        <v>-2020</v>
      </c>
      <c r="G44" s="67">
        <v>-1806</v>
      </c>
      <c r="H44" s="67"/>
      <c r="I44" s="67">
        <v>-1521</v>
      </c>
      <c r="J44" s="67">
        <v>-1530</v>
      </c>
      <c r="K44" s="67">
        <v>-1551</v>
      </c>
      <c r="L44" s="67">
        <v>-1335</v>
      </c>
      <c r="M44" s="67">
        <v>-1399</v>
      </c>
      <c r="N44" s="216">
        <f>'Shareholders Equity'!N8</f>
        <v>-1350</v>
      </c>
      <c r="O44" s="216">
        <f>'Shareholders Equity'!O8</f>
        <v>-1350</v>
      </c>
      <c r="P44" s="216">
        <f>'Shareholders Equity'!P8</f>
        <v>-1350</v>
      </c>
      <c r="Q44" s="216">
        <f>'Shareholders Equity'!Q8</f>
        <v>-1350</v>
      </c>
      <c r="R44" s="216">
        <f>'Shareholders Equity'!R8</f>
        <v>-1350</v>
      </c>
    </row>
    <row r="45" spans="2:18" ht="14.25" x14ac:dyDescent="0.2">
      <c r="B45" s="66" t="s">
        <v>88</v>
      </c>
      <c r="C45" s="62"/>
      <c r="D45" s="62"/>
      <c r="E45" s="62"/>
      <c r="F45" s="77">
        <v>242</v>
      </c>
      <c r="G45" s="68">
        <v>353</v>
      </c>
      <c r="H45" s="68"/>
      <c r="I45" s="77">
        <v>339</v>
      </c>
      <c r="J45" s="77">
        <v>371</v>
      </c>
      <c r="K45" s="77">
        <v>347</v>
      </c>
      <c r="L45" s="68">
        <v>446</v>
      </c>
      <c r="M45" s="77">
        <v>507</v>
      </c>
      <c r="N45" s="217">
        <f>'Shareholders Equity'!N10</f>
        <v>507</v>
      </c>
      <c r="O45" s="217">
        <f>'Shareholders Equity'!O10</f>
        <v>507</v>
      </c>
      <c r="P45" s="217">
        <f>'Shareholders Equity'!P10</f>
        <v>507</v>
      </c>
      <c r="Q45" s="217">
        <f>'Shareholders Equity'!Q10</f>
        <v>507</v>
      </c>
      <c r="R45" s="217">
        <f>'Shareholders Equity'!R10</f>
        <v>507</v>
      </c>
    </row>
    <row r="46" spans="2:18" ht="14.25" x14ac:dyDescent="0.2">
      <c r="B46" s="62" t="s">
        <v>89</v>
      </c>
      <c r="C46" s="62"/>
      <c r="D46" s="62"/>
      <c r="E46" s="62"/>
      <c r="F46" s="78">
        <f>SUM(F40:F45)</f>
        <v>-2624</v>
      </c>
      <c r="G46" s="78">
        <f>SUM(G40:G45)</f>
        <v>-1242</v>
      </c>
      <c r="H46" s="78"/>
      <c r="I46" s="78">
        <v>-2142</v>
      </c>
      <c r="J46" s="78">
        <v>-2170</v>
      </c>
      <c r="K46" s="78">
        <v>-2276</v>
      </c>
      <c r="L46" s="78">
        <v>-2233</v>
      </c>
      <c r="M46" s="78">
        <v>-2450</v>
      </c>
      <c r="N46" s="78">
        <f ca="1">SUM(N40:N45)</f>
        <v>-2162.6437068770201</v>
      </c>
      <c r="O46" s="78">
        <f ca="1">SUM(O40:O45)</f>
        <v>-3305.2189679941521</v>
      </c>
      <c r="P46" s="78">
        <f ca="1">SUM(P40:P45)</f>
        <v>-956.71535762061035</v>
      </c>
      <c r="Q46" s="78">
        <f ca="1">SUM(Q40:Q45)</f>
        <v>-2407.7681862443746</v>
      </c>
      <c r="R46" s="78">
        <f ca="1">SUM(R40:R45)</f>
        <v>-1296.4256016810696</v>
      </c>
    </row>
    <row r="47" spans="2:18" ht="14.25" x14ac:dyDescent="0.2">
      <c r="B47" s="62"/>
      <c r="C47" s="62"/>
      <c r="D47" s="62"/>
      <c r="E47" s="62"/>
      <c r="F47" s="72"/>
      <c r="G47" s="62"/>
      <c r="H47" s="62"/>
      <c r="K47" s="310"/>
      <c r="L47" s="310"/>
      <c r="M47" s="311"/>
      <c r="N47" s="62"/>
    </row>
    <row r="48" spans="2:18" ht="14.25" x14ac:dyDescent="0.2">
      <c r="B48" s="62" t="s">
        <v>90</v>
      </c>
      <c r="C48" s="62"/>
      <c r="D48" s="62"/>
      <c r="E48" s="62"/>
      <c r="F48" s="77">
        <v>-39</v>
      </c>
      <c r="G48" s="77">
        <v>-53</v>
      </c>
      <c r="H48" s="77"/>
      <c r="I48" s="314">
        <v>-94</v>
      </c>
      <c r="J48" s="314">
        <v>-142</v>
      </c>
      <c r="K48" s="314">
        <v>-107</v>
      </c>
      <c r="L48" s="314">
        <v>-64</v>
      </c>
      <c r="M48" s="315">
        <v>87</v>
      </c>
      <c r="N48" s="355"/>
    </row>
    <row r="49" spans="2:18" ht="18" customHeight="1" x14ac:dyDescent="0.2">
      <c r="B49" s="62" t="s">
        <v>91</v>
      </c>
      <c r="C49" s="62"/>
      <c r="D49" s="62"/>
      <c r="E49" s="62"/>
      <c r="F49" s="72">
        <f>F26+F35+F46+F48</f>
        <v>-110</v>
      </c>
      <c r="G49" s="72">
        <f>G26+G35+G46+G48</f>
        <v>388</v>
      </c>
      <c r="H49" s="72"/>
      <c r="I49" s="312">
        <v>78</v>
      </c>
      <c r="J49" s="312">
        <v>127</v>
      </c>
      <c r="K49" s="312">
        <v>-119</v>
      </c>
      <c r="L49" s="312">
        <v>345</v>
      </c>
      <c r="M49" s="313">
        <v>220</v>
      </c>
      <c r="N49" s="356">
        <f ca="1">N37+N46+N48</f>
        <v>549.22162010535158</v>
      </c>
      <c r="O49" s="356">
        <f ca="1">O37+O46+O48</f>
        <v>-1662.0993794209949</v>
      </c>
      <c r="P49" s="356">
        <f ca="1">P37+P46+P48</f>
        <v>719.83567133846759</v>
      </c>
      <c r="Q49" s="356">
        <f ca="1">Q37+Q46+Q48</f>
        <v>-676.75766404755086</v>
      </c>
      <c r="R49" s="356">
        <f ca="1">R37+R46+R48</f>
        <v>510.02520264737814</v>
      </c>
    </row>
    <row r="50" spans="2:18" ht="14.25" x14ac:dyDescent="0.2">
      <c r="B50" s="62"/>
      <c r="C50" s="62"/>
      <c r="D50" s="62"/>
      <c r="E50" s="62"/>
      <c r="F50" s="72"/>
      <c r="G50" s="62"/>
      <c r="H50" s="62"/>
      <c r="K50" s="62"/>
      <c r="L50" s="62"/>
      <c r="M50" s="62"/>
      <c r="N50" s="62"/>
    </row>
    <row r="51" spans="2:18" ht="14.25" x14ac:dyDescent="0.2">
      <c r="B51" s="62" t="s">
        <v>92</v>
      </c>
      <c r="C51" s="62"/>
      <c r="D51" s="62"/>
      <c r="E51" s="62"/>
      <c r="F51" s="77">
        <v>600</v>
      </c>
      <c r="G51" s="68">
        <v>490</v>
      </c>
      <c r="H51" s="68"/>
      <c r="I51" s="62">
        <v>884</v>
      </c>
      <c r="J51" s="62">
        <v>962</v>
      </c>
      <c r="K51" s="209">
        <v>1089</v>
      </c>
      <c r="L51" s="209">
        <v>970</v>
      </c>
      <c r="M51" s="209">
        <v>1315</v>
      </c>
      <c r="N51" s="209">
        <f>M52</f>
        <v>1535</v>
      </c>
      <c r="O51" s="209">
        <f ca="1">N52</f>
        <v>2084.2216201053516</v>
      </c>
      <c r="P51" s="209">
        <f ca="1">O52</f>
        <v>422.12224068435671</v>
      </c>
      <c r="Q51" s="209">
        <f ca="1">P52</f>
        <v>1141.9579120228243</v>
      </c>
      <c r="R51" s="209">
        <f ca="1">Q52</f>
        <v>465.20024797527344</v>
      </c>
    </row>
    <row r="52" spans="2:18" ht="15.75" thickBot="1" x14ac:dyDescent="0.3">
      <c r="B52" s="62" t="s">
        <v>93</v>
      </c>
      <c r="C52" s="62"/>
      <c r="D52" s="62"/>
      <c r="E52" s="62"/>
      <c r="F52" s="79">
        <f>F51+F49</f>
        <v>490</v>
      </c>
      <c r="G52" s="79">
        <f>G51+G49</f>
        <v>878</v>
      </c>
      <c r="H52" s="80"/>
      <c r="I52" s="80">
        <v>962</v>
      </c>
      <c r="J52" s="80">
        <v>1089</v>
      </c>
      <c r="K52" s="80">
        <v>970</v>
      </c>
      <c r="L52" s="80">
        <v>1315</v>
      </c>
      <c r="M52" s="80">
        <v>1535</v>
      </c>
      <c r="N52" s="80">
        <f ca="1">SUM(N49:N51)</f>
        <v>2084.2216201053516</v>
      </c>
      <c r="O52" s="80">
        <f ca="1">SUM(O49:O51)</f>
        <v>422.12224068435671</v>
      </c>
      <c r="P52" s="80">
        <f ca="1">SUM(P49:P51)</f>
        <v>1141.9579120228243</v>
      </c>
      <c r="Q52" s="80">
        <f ca="1">SUM(Q49:Q51)</f>
        <v>465.20024797527344</v>
      </c>
      <c r="R52" s="80">
        <f ca="1">SUM(R49:R51)</f>
        <v>975.22545062265158</v>
      </c>
    </row>
    <row r="53" spans="2:18" ht="15" thickTop="1" x14ac:dyDescent="0.2">
      <c r="B53" s="62"/>
      <c r="C53" s="62"/>
      <c r="D53" s="62"/>
      <c r="E53" s="62"/>
      <c r="F53" s="65"/>
      <c r="G53" s="62"/>
      <c r="H53" s="62"/>
    </row>
    <row r="54" spans="2:18" ht="15" x14ac:dyDescent="0.25">
      <c r="B54" s="63" t="s">
        <v>94</v>
      </c>
      <c r="C54" s="62"/>
      <c r="D54" s="62"/>
      <c r="E54" s="62"/>
      <c r="F54" s="65"/>
      <c r="G54" s="62"/>
      <c r="H54" s="62"/>
    </row>
    <row r="55" spans="2:18" ht="14.25" x14ac:dyDescent="0.2">
      <c r="B55" s="62"/>
      <c r="C55" s="62"/>
      <c r="D55" s="62"/>
      <c r="E55" s="62"/>
      <c r="F55" s="65" t="s">
        <v>75</v>
      </c>
      <c r="G55" s="62"/>
      <c r="H55" s="62"/>
    </row>
    <row r="56" spans="2:18" ht="14.25" x14ac:dyDescent="0.2">
      <c r="B56" s="62" t="s">
        <v>95</v>
      </c>
      <c r="C56" s="62"/>
      <c r="D56" s="62"/>
      <c r="E56" s="62"/>
      <c r="F56" s="64">
        <v>1123</v>
      </c>
      <c r="G56" s="64">
        <v>1007</v>
      </c>
      <c r="H56" s="64">
        <v>1280</v>
      </c>
      <c r="I56" s="64">
        <v>1087</v>
      </c>
      <c r="J56" s="64">
        <v>1009</v>
      </c>
      <c r="K56" s="64">
        <v>1259</v>
      </c>
      <c r="L56" s="64">
        <v>932</v>
      </c>
      <c r="M56" s="64">
        <v>1037</v>
      </c>
    </row>
    <row r="57" spans="2:18" ht="14.25" x14ac:dyDescent="0.2">
      <c r="B57" s="62" t="s">
        <v>96</v>
      </c>
      <c r="C57" s="62"/>
      <c r="D57" s="62"/>
      <c r="E57" s="62"/>
      <c r="F57" s="67">
        <v>70</v>
      </c>
      <c r="G57" s="67">
        <v>58</v>
      </c>
      <c r="H57" s="67">
        <v>77</v>
      </c>
      <c r="I57" s="67">
        <v>118</v>
      </c>
      <c r="J57" s="67">
        <v>133</v>
      </c>
      <c r="K57" s="67">
        <v>131</v>
      </c>
      <c r="L57" s="67">
        <v>162</v>
      </c>
      <c r="M57" s="67">
        <v>150</v>
      </c>
    </row>
    <row r="58" spans="2:18" x14ac:dyDescent="0.2">
      <c r="F58" s="58"/>
      <c r="G58" s="58"/>
      <c r="H58" s="60"/>
    </row>
    <row r="59" spans="2:18" x14ac:dyDescent="0.2">
      <c r="F59" s="58"/>
      <c r="G59" s="58"/>
      <c r="H59" s="60"/>
    </row>
  </sheetData>
  <pageMargins left="0.75" right="0.75" top="1" bottom="1" header="0.5" footer="0.5"/>
  <pageSetup scale="91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C1E1F-93E3-4236-A1C4-0BE37FE453A3}">
  <dimension ref="A1:M45"/>
  <sheetViews>
    <sheetView topLeftCell="A16" zoomScale="76" workbookViewId="0">
      <selection activeCell="H13" sqref="H13"/>
    </sheetView>
  </sheetViews>
  <sheetFormatPr defaultRowHeight="15" x14ac:dyDescent="0.25"/>
  <cols>
    <col min="1" max="1" width="2.28515625" customWidth="1"/>
    <col min="2" max="3" width="37.5703125" customWidth="1"/>
    <col min="4" max="5" width="9.85546875" bestFit="1" customWidth="1"/>
    <col min="6" max="6" width="12.5703125" bestFit="1" customWidth="1"/>
    <col min="7" max="7" width="10.85546875" bestFit="1" customWidth="1"/>
    <col min="8" max="8" width="9.85546875" bestFit="1" customWidth="1"/>
    <col min="253" max="253" width="37.5703125" customWidth="1"/>
    <col min="509" max="509" width="37.5703125" customWidth="1"/>
    <col min="765" max="765" width="37.5703125" customWidth="1"/>
    <col min="1021" max="1021" width="37.5703125" customWidth="1"/>
    <col min="1277" max="1277" width="37.5703125" customWidth="1"/>
    <col min="1533" max="1533" width="37.5703125" customWidth="1"/>
    <col min="1789" max="1789" width="37.5703125" customWidth="1"/>
    <col min="2045" max="2045" width="37.5703125" customWidth="1"/>
    <col min="2301" max="2301" width="37.5703125" customWidth="1"/>
    <col min="2557" max="2557" width="37.5703125" customWidth="1"/>
    <col min="2813" max="2813" width="37.5703125" customWidth="1"/>
    <col min="3069" max="3069" width="37.5703125" customWidth="1"/>
    <col min="3325" max="3325" width="37.5703125" customWidth="1"/>
    <col min="3581" max="3581" width="37.5703125" customWidth="1"/>
    <col min="3837" max="3837" width="37.5703125" customWidth="1"/>
    <col min="4093" max="4093" width="37.5703125" customWidth="1"/>
    <col min="4349" max="4349" width="37.5703125" customWidth="1"/>
    <col min="4605" max="4605" width="37.5703125" customWidth="1"/>
    <col min="4861" max="4861" width="37.5703125" customWidth="1"/>
    <col min="5117" max="5117" width="37.5703125" customWidth="1"/>
    <col min="5373" max="5373" width="37.5703125" customWidth="1"/>
    <col min="5629" max="5629" width="37.5703125" customWidth="1"/>
    <col min="5885" max="5885" width="37.5703125" customWidth="1"/>
    <col min="6141" max="6141" width="37.5703125" customWidth="1"/>
    <col min="6397" max="6397" width="37.5703125" customWidth="1"/>
    <col min="6653" max="6653" width="37.5703125" customWidth="1"/>
    <col min="6909" max="6909" width="37.5703125" customWidth="1"/>
    <col min="7165" max="7165" width="37.5703125" customWidth="1"/>
    <col min="7421" max="7421" width="37.5703125" customWidth="1"/>
    <col min="7677" max="7677" width="37.5703125" customWidth="1"/>
    <col min="7933" max="7933" width="37.5703125" customWidth="1"/>
    <col min="8189" max="8189" width="37.5703125" customWidth="1"/>
    <col min="8445" max="8445" width="37.5703125" customWidth="1"/>
    <col min="8701" max="8701" width="37.5703125" customWidth="1"/>
    <col min="8957" max="8957" width="37.5703125" customWidth="1"/>
    <col min="9213" max="9213" width="37.5703125" customWidth="1"/>
    <col min="9469" max="9469" width="37.5703125" customWidth="1"/>
    <col min="9725" max="9725" width="37.5703125" customWidth="1"/>
    <col min="9981" max="9981" width="37.5703125" customWidth="1"/>
    <col min="10237" max="10237" width="37.5703125" customWidth="1"/>
    <col min="10493" max="10493" width="37.5703125" customWidth="1"/>
    <col min="10749" max="10749" width="37.5703125" customWidth="1"/>
    <col min="11005" max="11005" width="37.5703125" customWidth="1"/>
    <col min="11261" max="11261" width="37.5703125" customWidth="1"/>
    <col min="11517" max="11517" width="37.5703125" customWidth="1"/>
    <col min="11773" max="11773" width="37.5703125" customWidth="1"/>
    <col min="12029" max="12029" width="37.5703125" customWidth="1"/>
    <col min="12285" max="12285" width="37.5703125" customWidth="1"/>
    <col min="12541" max="12541" width="37.5703125" customWidth="1"/>
    <col min="12797" max="12797" width="37.5703125" customWidth="1"/>
    <col min="13053" max="13053" width="37.5703125" customWidth="1"/>
    <col min="13309" max="13309" width="37.5703125" customWidth="1"/>
    <col min="13565" max="13565" width="37.5703125" customWidth="1"/>
    <col min="13821" max="13821" width="37.5703125" customWidth="1"/>
    <col min="14077" max="14077" width="37.5703125" customWidth="1"/>
    <col min="14333" max="14333" width="37.5703125" customWidth="1"/>
    <col min="14589" max="14589" width="37.5703125" customWidth="1"/>
    <col min="14845" max="14845" width="37.5703125" customWidth="1"/>
    <col min="15101" max="15101" width="37.5703125" customWidth="1"/>
    <col min="15357" max="15357" width="37.5703125" customWidth="1"/>
    <col min="15613" max="15613" width="37.5703125" customWidth="1"/>
    <col min="15869" max="15869" width="37.5703125" customWidth="1"/>
    <col min="16125" max="16125" width="37.5703125" customWidth="1"/>
  </cols>
  <sheetData>
    <row r="1" spans="1:13" s="55" customFormat="1" ht="23.25" x14ac:dyDescent="0.35">
      <c r="A1" s="22" t="str">
        <f>IS!A1</f>
        <v>Colgate-Palmolive Company</v>
      </c>
    </row>
    <row r="2" spans="1:13" s="23" customFormat="1" ht="14.25" x14ac:dyDescent="0.2"/>
    <row r="3" spans="1:13" s="23" customFormat="1" ht="20.25" x14ac:dyDescent="0.3">
      <c r="A3" s="1" t="s">
        <v>246</v>
      </c>
    </row>
    <row r="4" spans="1:13" s="23" customFormat="1" ht="21" thickBot="1" x14ac:dyDescent="0.35">
      <c r="A4" s="1"/>
    </row>
    <row r="5" spans="1:13" s="23" customFormat="1" ht="15.75" thickBot="1" x14ac:dyDescent="0.3">
      <c r="B5" s="321" t="s">
        <v>260</v>
      </c>
      <c r="C5" s="322"/>
    </row>
    <row r="6" spans="1:13" s="55" customFormat="1" ht="15.75" thickBot="1" x14ac:dyDescent="0.3">
      <c r="B6" s="62"/>
      <c r="C6" s="63" t="s">
        <v>280</v>
      </c>
      <c r="D6" s="61">
        <f>BS!I5</f>
        <v>41639</v>
      </c>
      <c r="E6" s="61">
        <f>BS!J5</f>
        <v>42004</v>
      </c>
      <c r="F6" s="61">
        <f>BS!K5</f>
        <v>42369</v>
      </c>
      <c r="G6" s="61">
        <f>BS!L5</f>
        <v>42735</v>
      </c>
      <c r="H6" s="61">
        <f>BS!M5</f>
        <v>43100</v>
      </c>
      <c r="I6" s="61">
        <f>BS!N5</f>
        <v>43465</v>
      </c>
      <c r="J6" s="61">
        <f>BS!O5</f>
        <v>43830</v>
      </c>
      <c r="K6" s="61">
        <f>BS!P5</f>
        <v>44196</v>
      </c>
      <c r="L6" s="61">
        <f>BS!Q5</f>
        <v>44561</v>
      </c>
      <c r="M6" s="61">
        <f>BS!R5</f>
        <v>44926</v>
      </c>
    </row>
    <row r="7" spans="1:13" x14ac:dyDescent="0.25">
      <c r="B7" s="319" t="s">
        <v>247</v>
      </c>
      <c r="C7" s="319"/>
      <c r="D7" s="130"/>
      <c r="E7" s="130"/>
      <c r="F7" s="130"/>
      <c r="G7" s="130"/>
      <c r="H7" s="130"/>
      <c r="I7" s="130"/>
      <c r="J7" s="130"/>
      <c r="K7" s="130"/>
      <c r="L7" s="130"/>
      <c r="M7" s="130"/>
    </row>
    <row r="8" spans="1:13" x14ac:dyDescent="0.25">
      <c r="B8" s="23" t="s">
        <v>248</v>
      </c>
      <c r="C8" s="23" t="s">
        <v>277</v>
      </c>
      <c r="D8" s="323">
        <f>BS!I12/BS!I28</f>
        <v>1.0787472035794183</v>
      </c>
      <c r="E8" s="323">
        <f>BS!J12/BS!J28</f>
        <v>1.232387227572225</v>
      </c>
      <c r="F8" s="323">
        <f>BS!K12/BS!K28</f>
        <v>1.2405206564799094</v>
      </c>
      <c r="G8" s="323">
        <f>BS!L12/BS!L28</f>
        <v>1.3125567322239031</v>
      </c>
      <c r="H8" s="323">
        <f>BS!M12/BS!M28</f>
        <v>1.3612089201877935</v>
      </c>
    </row>
    <row r="9" spans="1:13" x14ac:dyDescent="0.25">
      <c r="B9" s="23" t="s">
        <v>249</v>
      </c>
      <c r="C9" s="23" t="s">
        <v>278</v>
      </c>
      <c r="D9" s="323">
        <f>(BS!I12-BS!I10)/BS!I28</f>
        <v>0.75995525727069346</v>
      </c>
      <c r="E9" s="323">
        <f>(BS!J12-BS!J10)/BS!J28</f>
        <v>0.88215914850481503</v>
      </c>
      <c r="F9" s="323">
        <f>(BS!K12-BS!K10)/BS!K28</f>
        <v>0.90662139219015281</v>
      </c>
      <c r="G9" s="323">
        <f>(BS!L12-BS!L10)/BS!L28</f>
        <v>0.95824508320726176</v>
      </c>
      <c r="H9" s="323">
        <f>(BS!M12-BS!M10)/BS!M28</f>
        <v>1.0029342723004695</v>
      </c>
    </row>
    <row r="10" spans="1:13" x14ac:dyDescent="0.25">
      <c r="B10" s="23" t="s">
        <v>250</v>
      </c>
      <c r="C10" s="23" t="s">
        <v>279</v>
      </c>
      <c r="D10" s="323">
        <f>BS!I8/BS!I28</f>
        <v>0.21521252796420581</v>
      </c>
      <c r="E10" s="323">
        <f>BS!J8/BS!J28</f>
        <v>0.27597567156614294</v>
      </c>
      <c r="F10" s="323">
        <f>BS!K8/BS!K28</f>
        <v>0.27447651386530841</v>
      </c>
      <c r="G10" s="323">
        <f>BS!L8/BS!L28</f>
        <v>0.39788199697428139</v>
      </c>
      <c r="H10" s="323">
        <f>BS!M8/BS!M28</f>
        <v>0.45041079812206575</v>
      </c>
    </row>
    <row r="11" spans="1:13" x14ac:dyDescent="0.25">
      <c r="B11" s="23"/>
      <c r="C11" s="23"/>
      <c r="D11" s="23"/>
      <c r="E11" s="131"/>
      <c r="F11" s="131"/>
      <c r="G11" s="131"/>
      <c r="H11" s="131"/>
      <c r="I11" s="131"/>
    </row>
    <row r="12" spans="1:13" x14ac:dyDescent="0.25">
      <c r="B12" s="319" t="s">
        <v>251</v>
      </c>
      <c r="C12" s="319"/>
      <c r="D12" s="130"/>
      <c r="E12" s="130"/>
      <c r="F12" s="130"/>
      <c r="G12" s="130"/>
      <c r="H12" s="130"/>
      <c r="I12" s="130"/>
      <c r="J12" s="130"/>
      <c r="K12" s="130"/>
      <c r="L12" s="130"/>
      <c r="M12" s="130"/>
    </row>
    <row r="13" spans="1:13" x14ac:dyDescent="0.25">
      <c r="B13" s="23" t="s">
        <v>252</v>
      </c>
      <c r="C13" s="23"/>
      <c r="D13" s="324">
        <f>IS!I6/AVERAGE(BS!I9:J9)</f>
        <v>10.928481806775407</v>
      </c>
      <c r="E13" s="324">
        <f>IS!J6/AVERAGE(BS!J9:K9)</f>
        <v>11.599194360523665</v>
      </c>
      <c r="F13" s="324">
        <f>IS!K6/AVERAGE(BS!K9:L9)</f>
        <v>11.299506694855532</v>
      </c>
      <c r="G13" s="324">
        <f>IS!L6/AVERAGE(BS!L9:M9)</f>
        <v>10.51193358699412</v>
      </c>
      <c r="H13" s="324">
        <f ca="1">IS!M6/AVERAGE(BS!M9:N9)</f>
        <v>10.230964501441699</v>
      </c>
      <c r="I13" s="208"/>
    </row>
    <row r="14" spans="1:13" x14ac:dyDescent="0.25">
      <c r="B14" s="23" t="s">
        <v>253</v>
      </c>
      <c r="C14" s="23" t="s">
        <v>281</v>
      </c>
      <c r="D14" s="324">
        <f>IS!I7/AVERAGE(BS!I10:J10)</f>
        <v>5.1435696473102954</v>
      </c>
      <c r="E14" s="324">
        <f>IS!J7/AVERAGE(BS!J10:K10)</f>
        <v>5.5956284153005464</v>
      </c>
      <c r="F14" s="324">
        <f>IS!K7/AVERAGE(BS!K10:L10)</f>
        <v>5.6444066354742661</v>
      </c>
      <c r="G14" s="324">
        <f>IS!L7/AVERAGE(BS!L10:M10)</f>
        <v>5.0769230769230766</v>
      </c>
      <c r="H14" s="324">
        <f ca="1">IS!M7/AVERAGE(BS!M10:N10)</f>
        <v>4.7847261676761423</v>
      </c>
      <c r="I14" s="132"/>
    </row>
    <row r="15" spans="1:13" x14ac:dyDescent="0.25">
      <c r="B15" s="23" t="s">
        <v>254</v>
      </c>
      <c r="C15" s="23"/>
      <c r="D15" s="324">
        <f>IS!I7/AVERAGE(BS!I25:J25)</f>
        <v>5.6091686091686093</v>
      </c>
      <c r="E15" s="324">
        <f>IS!J7/AVERAGE(BS!J25:K25)</f>
        <v>6.1238786843229391</v>
      </c>
      <c r="F15" s="324">
        <f>IS!K7/AVERAGE(BS!K25:L25)</f>
        <v>5.9400179051029545</v>
      </c>
      <c r="G15" s="324">
        <f>IS!L7/AVERAGE(BS!L25:M25)</f>
        <v>5.1986301369863011</v>
      </c>
      <c r="H15" s="324">
        <f ca="1">IS!M7/AVERAGE(BS!M25:N25)</f>
        <v>4.9454782464559921</v>
      </c>
      <c r="I15" s="134"/>
    </row>
    <row r="16" spans="1:13" x14ac:dyDescent="0.25">
      <c r="B16" s="23"/>
      <c r="C16" s="23"/>
      <c r="D16" s="23"/>
      <c r="E16" s="23"/>
    </row>
    <row r="17" spans="2:13" x14ac:dyDescent="0.25">
      <c r="B17" s="23" t="s">
        <v>255</v>
      </c>
      <c r="C17" s="23"/>
      <c r="D17" s="324">
        <v>365</v>
      </c>
      <c r="E17" s="324">
        <v>365</v>
      </c>
      <c r="F17" s="324">
        <v>365</v>
      </c>
      <c r="G17" s="324">
        <v>365</v>
      </c>
      <c r="H17" s="324">
        <v>365</v>
      </c>
    </row>
    <row r="18" spans="2:13" x14ac:dyDescent="0.25">
      <c r="B18" s="23" t="s">
        <v>256</v>
      </c>
      <c r="C18" s="23"/>
      <c r="D18" s="324">
        <f>$D$17/D13</f>
        <v>33.398966704936853</v>
      </c>
      <c r="E18" s="324">
        <f>$E$17/E13</f>
        <v>31.46770272616774</v>
      </c>
      <c r="F18" s="324">
        <f>$F$17/F13</f>
        <v>32.30229512286391</v>
      </c>
      <c r="G18" s="324">
        <f>$G$17/G13</f>
        <v>34.722441592629153</v>
      </c>
      <c r="H18" s="324">
        <f ca="1">$H$17/H13</f>
        <v>35.676010795322959</v>
      </c>
    </row>
    <row r="19" spans="2:13" x14ac:dyDescent="0.25">
      <c r="B19" s="23" t="s">
        <v>257</v>
      </c>
      <c r="C19" s="23"/>
      <c r="D19" s="324">
        <f>$D$17/D14</f>
        <v>70.962390912868827</v>
      </c>
      <c r="E19" s="324">
        <f>$E$17/E14</f>
        <v>65.2294921875</v>
      </c>
      <c r="F19" s="324">
        <f>$F$17/F14</f>
        <v>64.665787490580257</v>
      </c>
      <c r="G19" s="324">
        <f>$G$17/G14</f>
        <v>71.893939393939391</v>
      </c>
      <c r="H19" s="324">
        <f ca="1">$H$17/H14</f>
        <v>76.284407343058902</v>
      </c>
    </row>
    <row r="20" spans="2:13" x14ac:dyDescent="0.25">
      <c r="B20" s="23" t="s">
        <v>258</v>
      </c>
      <c r="C20" s="23"/>
      <c r="D20" s="324">
        <f>$D$17/D15</f>
        <v>65.07203213741515</v>
      </c>
      <c r="E20" s="324">
        <f>$E$17/E15</f>
        <v>59.602748325892854</v>
      </c>
      <c r="F20" s="324">
        <f>$F$17/F15</f>
        <v>61.44762622456669</v>
      </c>
      <c r="G20" s="324">
        <f>$G$17/G15</f>
        <v>70.210803689064562</v>
      </c>
      <c r="H20" s="324">
        <f ca="1">$H$17/H15</f>
        <v>73.804793350686509</v>
      </c>
    </row>
    <row r="21" spans="2:13" x14ac:dyDescent="0.25">
      <c r="B21" s="320" t="s">
        <v>259</v>
      </c>
      <c r="C21" s="320" t="s">
        <v>283</v>
      </c>
      <c r="D21" s="325">
        <f>D18+D19-D20</f>
        <v>39.289325480390531</v>
      </c>
      <c r="E21" s="325">
        <f>E18+E19-E20</f>
        <v>37.09444658777489</v>
      </c>
      <c r="F21" s="325">
        <f>F18+F19-F20</f>
        <v>35.520456388877477</v>
      </c>
      <c r="G21" s="325">
        <f>G18+G19-G20</f>
        <v>36.405577297503982</v>
      </c>
      <c r="H21" s="325">
        <f ca="1">H18+H19-H20</f>
        <v>38.155624787695359</v>
      </c>
      <c r="I21" s="320"/>
      <c r="J21" s="320"/>
      <c r="K21" s="320"/>
      <c r="L21" s="320"/>
      <c r="M21" s="320"/>
    </row>
    <row r="23" spans="2:13" ht="15.75" thickBot="1" x14ac:dyDescent="0.3"/>
    <row r="24" spans="2:13" ht="15.75" thickBot="1" x14ac:dyDescent="0.3">
      <c r="B24" s="321" t="s">
        <v>261</v>
      </c>
      <c r="C24" s="322"/>
    </row>
    <row r="25" spans="2:13" ht="15.75" thickBot="1" x14ac:dyDescent="0.3">
      <c r="D25" s="61">
        <f t="shared" ref="D25:M25" si="0">D6</f>
        <v>41639</v>
      </c>
      <c r="E25" s="61">
        <f t="shared" si="0"/>
        <v>42004</v>
      </c>
      <c r="F25" s="61">
        <f t="shared" si="0"/>
        <v>42369</v>
      </c>
      <c r="G25" s="61">
        <f t="shared" si="0"/>
        <v>42735</v>
      </c>
      <c r="H25" s="61">
        <f t="shared" si="0"/>
        <v>43100</v>
      </c>
      <c r="I25" s="61">
        <f t="shared" si="0"/>
        <v>43465</v>
      </c>
      <c r="J25" s="61">
        <f t="shared" si="0"/>
        <v>43830</v>
      </c>
      <c r="K25" s="61">
        <f t="shared" si="0"/>
        <v>44196</v>
      </c>
      <c r="L25" s="61">
        <f t="shared" si="0"/>
        <v>44561</v>
      </c>
      <c r="M25" s="61">
        <f t="shared" si="0"/>
        <v>44926</v>
      </c>
    </row>
    <row r="26" spans="2:13" x14ac:dyDescent="0.25">
      <c r="B26" s="319" t="s">
        <v>262</v>
      </c>
      <c r="C26" s="319"/>
      <c r="D26" s="130"/>
      <c r="E26" s="130"/>
      <c r="F26" s="130"/>
      <c r="G26" s="130"/>
      <c r="H26" s="130"/>
      <c r="I26" s="130"/>
      <c r="J26" s="130"/>
      <c r="K26" s="130"/>
      <c r="L26" s="130"/>
      <c r="M26" s="130"/>
    </row>
    <row r="27" spans="2:13" x14ac:dyDescent="0.25">
      <c r="B27" s="23" t="s">
        <v>263</v>
      </c>
      <c r="C27" s="23" t="s">
        <v>282</v>
      </c>
      <c r="D27" s="323">
        <f>IS!I6/BS!I19</f>
        <v>1.2554050158547132</v>
      </c>
      <c r="E27" s="323">
        <f>IS!J6/BS!J19</f>
        <v>1.2836763503975035</v>
      </c>
      <c r="F27" s="323">
        <f>IS!K6/BS!K19</f>
        <v>1.3408596755310254</v>
      </c>
      <c r="G27" s="323">
        <f>IS!L6/BS!L19</f>
        <v>1.2534026231130908</v>
      </c>
      <c r="H27" s="323">
        <f>IS!M6/BS!M19</f>
        <v>1.2191543073524771</v>
      </c>
    </row>
    <row r="28" spans="2:13" x14ac:dyDescent="0.25">
      <c r="B28" s="23"/>
      <c r="C28" s="23"/>
      <c r="D28" s="23"/>
      <c r="E28" s="131"/>
      <c r="F28" s="131"/>
      <c r="G28" s="131"/>
      <c r="H28" s="131"/>
      <c r="I28" s="131"/>
    </row>
    <row r="29" spans="2:13" x14ac:dyDescent="0.25">
      <c r="B29" s="319" t="s">
        <v>264</v>
      </c>
      <c r="C29" s="319"/>
      <c r="D29" s="130"/>
      <c r="E29" s="130"/>
      <c r="F29" s="130"/>
      <c r="G29" s="130"/>
      <c r="H29" s="130"/>
      <c r="I29" s="130"/>
      <c r="J29" s="130"/>
      <c r="K29" s="130"/>
      <c r="L29" s="130"/>
      <c r="M29" s="130"/>
    </row>
    <row r="30" spans="2:13" x14ac:dyDescent="0.25">
      <c r="B30" s="23" t="s">
        <v>265</v>
      </c>
      <c r="C30" s="23"/>
      <c r="D30" s="193">
        <f>IS!I32</f>
        <v>0.58559127439724457</v>
      </c>
      <c r="E30" s="193">
        <f>IS!J32</f>
        <v>0.58511315621925108</v>
      </c>
      <c r="F30" s="193">
        <f>IS!K32</f>
        <v>0.58619184233503807</v>
      </c>
      <c r="G30" s="193">
        <f>IS!L32</f>
        <v>0.60039486673247777</v>
      </c>
      <c r="H30" s="193">
        <f>IS!M32</f>
        <v>0.60049178206289633</v>
      </c>
      <c r="I30" s="208"/>
    </row>
    <row r="31" spans="2:13" x14ac:dyDescent="0.25">
      <c r="B31" s="23" t="s">
        <v>266</v>
      </c>
      <c r="C31" s="23"/>
      <c r="D31" s="193">
        <f>IS!I36</f>
        <v>0.17990815154994261</v>
      </c>
      <c r="E31" s="193">
        <f>IS!J36</f>
        <v>0.1728888117149969</v>
      </c>
      <c r="F31" s="193">
        <f>IS!K36</f>
        <v>0.17394287139827869</v>
      </c>
      <c r="G31" s="193">
        <f>IS!L36</f>
        <v>0.25251727541954588</v>
      </c>
      <c r="H31" s="193">
        <f>IS!M36</f>
        <v>0.23223760838617832</v>
      </c>
      <c r="I31" s="132"/>
    </row>
    <row r="32" spans="2:13" x14ac:dyDescent="0.25">
      <c r="B32" s="23" t="s">
        <v>267</v>
      </c>
      <c r="C32" s="23"/>
      <c r="D32" s="193">
        <f>IS!I43</f>
        <v>0.12864523536165329</v>
      </c>
      <c r="E32" s="193">
        <f>IS!J43</f>
        <v>0.12617931353823</v>
      </c>
      <c r="F32" s="193">
        <f>IS!K43</f>
        <v>8.631657727329424E-2</v>
      </c>
      <c r="G32" s="193">
        <f>IS!L43</f>
        <v>0.1606449489963804</v>
      </c>
      <c r="H32" s="193">
        <f>IS!M43</f>
        <v>0.13096932832923514</v>
      </c>
      <c r="I32" s="134"/>
    </row>
    <row r="34" spans="2:13" x14ac:dyDescent="0.25">
      <c r="B34" s="319" t="s">
        <v>268</v>
      </c>
      <c r="C34" s="319"/>
      <c r="D34" s="130"/>
      <c r="E34" s="130"/>
      <c r="F34" s="130"/>
      <c r="G34" s="130"/>
      <c r="H34" s="130"/>
      <c r="I34" s="130"/>
      <c r="J34" s="130"/>
      <c r="K34" s="130"/>
      <c r="L34" s="130"/>
      <c r="M34" s="130"/>
    </row>
    <row r="35" spans="2:13" x14ac:dyDescent="0.25">
      <c r="B35" s="23" t="s">
        <v>269</v>
      </c>
      <c r="C35" s="23"/>
      <c r="D35" s="326">
        <f>D32</f>
        <v>0.12864523536165329</v>
      </c>
      <c r="E35" s="326">
        <f>E32</f>
        <v>0.12617931353823</v>
      </c>
      <c r="F35" s="326">
        <f>F32</f>
        <v>8.631657727329424E-2</v>
      </c>
      <c r="G35" s="326">
        <f>G32</f>
        <v>0.1606449489963804</v>
      </c>
      <c r="H35" s="326">
        <f>H32</f>
        <v>0.13096932832923514</v>
      </c>
    </row>
    <row r="36" spans="2:13" x14ac:dyDescent="0.25">
      <c r="B36" s="23" t="s">
        <v>270</v>
      </c>
      <c r="C36" s="23"/>
      <c r="D36" s="327">
        <f>D27</f>
        <v>1.2554050158547132</v>
      </c>
      <c r="E36" s="327">
        <f>E27</f>
        <v>1.2836763503975035</v>
      </c>
      <c r="F36" s="327">
        <f>F27</f>
        <v>1.3408596755310254</v>
      </c>
      <c r="G36" s="327">
        <f>G27</f>
        <v>1.2534026231130908</v>
      </c>
      <c r="H36" s="327">
        <f>H27</f>
        <v>1.2191543073524771</v>
      </c>
    </row>
    <row r="37" spans="2:13" x14ac:dyDescent="0.25">
      <c r="B37" s="23" t="s">
        <v>271</v>
      </c>
      <c r="C37" s="23"/>
      <c r="D37" s="328">
        <f>AVERAGE(BS!I35:J35)/AVERAGE(BS!I47:J47)</f>
        <v>5.9714358581994391</v>
      </c>
      <c r="E37" s="328">
        <f>AVERAGE(BS!J35:K35)/AVERAGE(BS!J47:K47)</f>
        <v>17.953765846383295</v>
      </c>
      <c r="F37" s="328">
        <f>AVERAGE(BS!K35:L35)/AVERAGE(BS!K47:L47)</f>
        <v>-892.88888888888891</v>
      </c>
      <c r="G37" s="328">
        <f>AVERAGE(BS!L35:M35)/AVERAGE(BS!L47:M47)</f>
        <v>94.380769230769232</v>
      </c>
      <c r="H37" s="328">
        <f ca="1">AVERAGE(BS!M35:N35)/AVERAGE(BS!M47:N47)</f>
        <v>39.685131932735445</v>
      </c>
    </row>
    <row r="38" spans="2:13" x14ac:dyDescent="0.25">
      <c r="B38" s="23" t="s">
        <v>272</v>
      </c>
      <c r="C38" s="23"/>
      <c r="D38" s="327">
        <f>D35*D36*D37</f>
        <v>0.96439808001044569</v>
      </c>
      <c r="E38" s="327">
        <f>E35*E36*E37</f>
        <v>2.9080325094818025</v>
      </c>
      <c r="F38" s="327">
        <f>F35*F36*F37</f>
        <v>-103.34154726728737</v>
      </c>
      <c r="G38" s="327">
        <f>G35*G36*G37</f>
        <v>19.003832194366716</v>
      </c>
      <c r="H38" s="327">
        <f ca="1">H35*H36*H37</f>
        <v>6.3365972729454496</v>
      </c>
    </row>
    <row r="40" spans="2:13" ht="15.75" thickBot="1" x14ac:dyDescent="0.3"/>
    <row r="41" spans="2:13" ht="15.75" thickBot="1" x14ac:dyDescent="0.3">
      <c r="B41" s="321" t="s">
        <v>273</v>
      </c>
      <c r="C41" s="322"/>
    </row>
    <row r="42" spans="2:13" ht="15.75" thickBot="1" x14ac:dyDescent="0.3">
      <c r="D42" s="61">
        <f t="shared" ref="D42:M42" si="1">D25</f>
        <v>41639</v>
      </c>
      <c r="E42" s="61">
        <f t="shared" si="1"/>
        <v>42004</v>
      </c>
      <c r="F42" s="61">
        <f t="shared" si="1"/>
        <v>42369</v>
      </c>
      <c r="G42" s="61">
        <f t="shared" si="1"/>
        <v>42735</v>
      </c>
      <c r="H42" s="61">
        <f t="shared" si="1"/>
        <v>43100</v>
      </c>
      <c r="I42" s="61">
        <f t="shared" si="1"/>
        <v>43465</v>
      </c>
      <c r="J42" s="61">
        <f t="shared" si="1"/>
        <v>43830</v>
      </c>
      <c r="K42" s="61">
        <f t="shared" si="1"/>
        <v>44196</v>
      </c>
      <c r="L42" s="61">
        <f t="shared" si="1"/>
        <v>44561</v>
      </c>
      <c r="M42" s="61">
        <f t="shared" si="1"/>
        <v>44926</v>
      </c>
    </row>
    <row r="43" spans="2:13" x14ac:dyDescent="0.25">
      <c r="B43" s="23" t="s">
        <v>274</v>
      </c>
      <c r="C43" s="23"/>
      <c r="D43" s="327">
        <f>BS!I35/BS!I47</f>
        <v>4.4716088328075712</v>
      </c>
      <c r="E43" s="327">
        <f>BS!J35/BS!J47</f>
        <v>8.7176895306859201</v>
      </c>
      <c r="F43" s="327">
        <f>BS!K35/BS!K47</f>
        <v>-272.77272727272725</v>
      </c>
      <c r="G43" s="327">
        <f>BS!L35/BS!L47</f>
        <v>712.11764705882354</v>
      </c>
      <c r="H43" s="327">
        <f>BS!M35/BS!M47</f>
        <v>51.164609053497941</v>
      </c>
    </row>
    <row r="44" spans="2:13" x14ac:dyDescent="0.25">
      <c r="B44" s="23" t="s">
        <v>275</v>
      </c>
      <c r="C44" s="23"/>
      <c r="D44" s="327">
        <f>BS!I35/BS!I19</f>
        <v>0.81723839723263192</v>
      </c>
      <c r="E44" s="327">
        <f>BS!J35/BS!J19</f>
        <v>0.89709488074894128</v>
      </c>
      <c r="F44" s="327">
        <f>BS!K35/BS!K19</f>
        <v>1.0036795450744271</v>
      </c>
      <c r="G44" s="327">
        <f>BS!L35/BS!L19</f>
        <v>0.99859770683824134</v>
      </c>
      <c r="H44" s="327">
        <f>BS!M35/BS!M19</f>
        <v>0.98082991479962134</v>
      </c>
    </row>
    <row r="45" spans="2:13" x14ac:dyDescent="0.25">
      <c r="B45" s="23" t="s">
        <v>276</v>
      </c>
      <c r="C45" s="23"/>
      <c r="D45" s="328">
        <f>IS!I12/IS!I13</f>
        <v>-395.11111111111109</v>
      </c>
      <c r="E45" s="328">
        <f>IS!J12/IS!J13</f>
        <v>148.20833333333334</v>
      </c>
      <c r="F45" s="328">
        <f>IS!K12/IS!K13</f>
        <v>107.26923076923077</v>
      </c>
      <c r="G45" s="328">
        <f>IS!L12/IS!L13</f>
        <v>38.757575757575758</v>
      </c>
      <c r="H45" s="328">
        <f>IS!M12/IS!M13</f>
        <v>35.186274509803923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51"/>
  <sheetViews>
    <sheetView zoomScale="80" zoomScaleNormal="80" workbookViewId="0">
      <pane ySplit="5" topLeftCell="A6" activePane="bottomLeft" state="frozen"/>
      <selection pane="bottomLeft" activeCell="P35" sqref="P35"/>
    </sheetView>
  </sheetViews>
  <sheetFormatPr defaultRowHeight="15" x14ac:dyDescent="0.25"/>
  <cols>
    <col min="1" max="1" width="2.5703125" customWidth="1"/>
    <col min="2" max="2" width="47.28515625" customWidth="1"/>
    <col min="3" max="4" width="10.5703125" hidden="1" customWidth="1"/>
    <col min="5" max="8" width="10.7109375" hidden="1" customWidth="1"/>
    <col min="9" max="9" width="10.7109375" bestFit="1" customWidth="1"/>
    <col min="10" max="13" width="9.28515625" bestFit="1" customWidth="1"/>
    <col min="14" max="15" width="9.42578125" bestFit="1" customWidth="1"/>
    <col min="21" max="21" width="26.28515625" bestFit="1" customWidth="1"/>
    <col min="261" max="261" width="48.140625" bestFit="1" customWidth="1"/>
    <col min="273" max="273" width="26.28515625" bestFit="1" customWidth="1"/>
    <col min="517" max="517" width="48.140625" bestFit="1" customWidth="1"/>
    <col min="529" max="529" width="26.28515625" bestFit="1" customWidth="1"/>
    <col min="773" max="773" width="48.140625" bestFit="1" customWidth="1"/>
    <col min="785" max="785" width="26.28515625" bestFit="1" customWidth="1"/>
    <col min="1029" max="1029" width="48.140625" bestFit="1" customWidth="1"/>
    <col min="1041" max="1041" width="26.28515625" bestFit="1" customWidth="1"/>
    <col min="1285" max="1285" width="48.140625" bestFit="1" customWidth="1"/>
    <col min="1297" max="1297" width="26.28515625" bestFit="1" customWidth="1"/>
    <col min="1541" max="1541" width="48.140625" bestFit="1" customWidth="1"/>
    <col min="1553" max="1553" width="26.28515625" bestFit="1" customWidth="1"/>
    <col min="1797" max="1797" width="48.140625" bestFit="1" customWidth="1"/>
    <col min="1809" max="1809" width="26.28515625" bestFit="1" customWidth="1"/>
    <col min="2053" max="2053" width="48.140625" bestFit="1" customWidth="1"/>
    <col min="2065" max="2065" width="26.28515625" bestFit="1" customWidth="1"/>
    <col min="2309" max="2309" width="48.140625" bestFit="1" customWidth="1"/>
    <col min="2321" max="2321" width="26.28515625" bestFit="1" customWidth="1"/>
    <col min="2565" max="2565" width="48.140625" bestFit="1" customWidth="1"/>
    <col min="2577" max="2577" width="26.28515625" bestFit="1" customWidth="1"/>
    <col min="2821" max="2821" width="48.140625" bestFit="1" customWidth="1"/>
    <col min="2833" max="2833" width="26.28515625" bestFit="1" customWidth="1"/>
    <col min="3077" max="3077" width="48.140625" bestFit="1" customWidth="1"/>
    <col min="3089" max="3089" width="26.28515625" bestFit="1" customWidth="1"/>
    <col min="3333" max="3333" width="48.140625" bestFit="1" customWidth="1"/>
    <col min="3345" max="3345" width="26.28515625" bestFit="1" customWidth="1"/>
    <col min="3589" max="3589" width="48.140625" bestFit="1" customWidth="1"/>
    <col min="3601" max="3601" width="26.28515625" bestFit="1" customWidth="1"/>
    <col min="3845" max="3845" width="48.140625" bestFit="1" customWidth="1"/>
    <col min="3857" max="3857" width="26.28515625" bestFit="1" customWidth="1"/>
    <col min="4101" max="4101" width="48.140625" bestFit="1" customWidth="1"/>
    <col min="4113" max="4113" width="26.28515625" bestFit="1" customWidth="1"/>
    <col min="4357" max="4357" width="48.140625" bestFit="1" customWidth="1"/>
    <col min="4369" max="4369" width="26.28515625" bestFit="1" customWidth="1"/>
    <col min="4613" max="4613" width="48.140625" bestFit="1" customWidth="1"/>
    <col min="4625" max="4625" width="26.28515625" bestFit="1" customWidth="1"/>
    <col min="4869" max="4869" width="48.140625" bestFit="1" customWidth="1"/>
    <col min="4881" max="4881" width="26.28515625" bestFit="1" customWidth="1"/>
    <col min="5125" max="5125" width="48.140625" bestFit="1" customWidth="1"/>
    <col min="5137" max="5137" width="26.28515625" bestFit="1" customWidth="1"/>
    <col min="5381" max="5381" width="48.140625" bestFit="1" customWidth="1"/>
    <col min="5393" max="5393" width="26.28515625" bestFit="1" customWidth="1"/>
    <col min="5637" max="5637" width="48.140625" bestFit="1" customWidth="1"/>
    <col min="5649" max="5649" width="26.28515625" bestFit="1" customWidth="1"/>
    <col min="5893" max="5893" width="48.140625" bestFit="1" customWidth="1"/>
    <col min="5905" max="5905" width="26.28515625" bestFit="1" customWidth="1"/>
    <col min="6149" max="6149" width="48.140625" bestFit="1" customWidth="1"/>
    <col min="6161" max="6161" width="26.28515625" bestFit="1" customWidth="1"/>
    <col min="6405" max="6405" width="48.140625" bestFit="1" customWidth="1"/>
    <col min="6417" max="6417" width="26.28515625" bestFit="1" customWidth="1"/>
    <col min="6661" max="6661" width="48.140625" bestFit="1" customWidth="1"/>
    <col min="6673" max="6673" width="26.28515625" bestFit="1" customWidth="1"/>
    <col min="6917" max="6917" width="48.140625" bestFit="1" customWidth="1"/>
    <col min="6929" max="6929" width="26.28515625" bestFit="1" customWidth="1"/>
    <col min="7173" max="7173" width="48.140625" bestFit="1" customWidth="1"/>
    <col min="7185" max="7185" width="26.28515625" bestFit="1" customWidth="1"/>
    <col min="7429" max="7429" width="48.140625" bestFit="1" customWidth="1"/>
    <col min="7441" max="7441" width="26.28515625" bestFit="1" customWidth="1"/>
    <col min="7685" max="7685" width="48.140625" bestFit="1" customWidth="1"/>
    <col min="7697" max="7697" width="26.28515625" bestFit="1" customWidth="1"/>
    <col min="7941" max="7941" width="48.140625" bestFit="1" customWidth="1"/>
    <col min="7953" max="7953" width="26.28515625" bestFit="1" customWidth="1"/>
    <col min="8197" max="8197" width="48.140625" bestFit="1" customWidth="1"/>
    <col min="8209" max="8209" width="26.28515625" bestFit="1" customWidth="1"/>
    <col min="8453" max="8453" width="48.140625" bestFit="1" customWidth="1"/>
    <col min="8465" max="8465" width="26.28515625" bestFit="1" customWidth="1"/>
    <col min="8709" max="8709" width="48.140625" bestFit="1" customWidth="1"/>
    <col min="8721" max="8721" width="26.28515625" bestFit="1" customWidth="1"/>
    <col min="8965" max="8965" width="48.140625" bestFit="1" customWidth="1"/>
    <col min="8977" max="8977" width="26.28515625" bestFit="1" customWidth="1"/>
    <col min="9221" max="9221" width="48.140625" bestFit="1" customWidth="1"/>
    <col min="9233" max="9233" width="26.28515625" bestFit="1" customWidth="1"/>
    <col min="9477" max="9477" width="48.140625" bestFit="1" customWidth="1"/>
    <col min="9489" max="9489" width="26.28515625" bestFit="1" customWidth="1"/>
    <col min="9733" max="9733" width="48.140625" bestFit="1" customWidth="1"/>
    <col min="9745" max="9745" width="26.28515625" bestFit="1" customWidth="1"/>
    <col min="9989" max="9989" width="48.140625" bestFit="1" customWidth="1"/>
    <col min="10001" max="10001" width="26.28515625" bestFit="1" customWidth="1"/>
    <col min="10245" max="10245" width="48.140625" bestFit="1" customWidth="1"/>
    <col min="10257" max="10257" width="26.28515625" bestFit="1" customWidth="1"/>
    <col min="10501" max="10501" width="48.140625" bestFit="1" customWidth="1"/>
    <col min="10513" max="10513" width="26.28515625" bestFit="1" customWidth="1"/>
    <col min="10757" max="10757" width="48.140625" bestFit="1" customWidth="1"/>
    <col min="10769" max="10769" width="26.28515625" bestFit="1" customWidth="1"/>
    <col min="11013" max="11013" width="48.140625" bestFit="1" customWidth="1"/>
    <col min="11025" max="11025" width="26.28515625" bestFit="1" customWidth="1"/>
    <col min="11269" max="11269" width="48.140625" bestFit="1" customWidth="1"/>
    <col min="11281" max="11281" width="26.28515625" bestFit="1" customWidth="1"/>
    <col min="11525" max="11525" width="48.140625" bestFit="1" customWidth="1"/>
    <col min="11537" max="11537" width="26.28515625" bestFit="1" customWidth="1"/>
    <col min="11781" max="11781" width="48.140625" bestFit="1" customWidth="1"/>
    <col min="11793" max="11793" width="26.28515625" bestFit="1" customWidth="1"/>
    <col min="12037" max="12037" width="48.140625" bestFit="1" customWidth="1"/>
    <col min="12049" max="12049" width="26.28515625" bestFit="1" customWidth="1"/>
    <col min="12293" max="12293" width="48.140625" bestFit="1" customWidth="1"/>
    <col min="12305" max="12305" width="26.28515625" bestFit="1" customWidth="1"/>
    <col min="12549" max="12549" width="48.140625" bestFit="1" customWidth="1"/>
    <col min="12561" max="12561" width="26.28515625" bestFit="1" customWidth="1"/>
    <col min="12805" max="12805" width="48.140625" bestFit="1" customWidth="1"/>
    <col min="12817" max="12817" width="26.28515625" bestFit="1" customWidth="1"/>
    <col min="13061" max="13061" width="48.140625" bestFit="1" customWidth="1"/>
    <col min="13073" max="13073" width="26.28515625" bestFit="1" customWidth="1"/>
    <col min="13317" max="13317" width="48.140625" bestFit="1" customWidth="1"/>
    <col min="13329" max="13329" width="26.28515625" bestFit="1" customWidth="1"/>
    <col min="13573" max="13573" width="48.140625" bestFit="1" customWidth="1"/>
    <col min="13585" max="13585" width="26.28515625" bestFit="1" customWidth="1"/>
    <col min="13829" max="13829" width="48.140625" bestFit="1" customWidth="1"/>
    <col min="13841" max="13841" width="26.28515625" bestFit="1" customWidth="1"/>
    <col min="14085" max="14085" width="48.140625" bestFit="1" customWidth="1"/>
    <col min="14097" max="14097" width="26.28515625" bestFit="1" customWidth="1"/>
    <col min="14341" max="14341" width="48.140625" bestFit="1" customWidth="1"/>
    <col min="14353" max="14353" width="26.28515625" bestFit="1" customWidth="1"/>
    <col min="14597" max="14597" width="48.140625" bestFit="1" customWidth="1"/>
    <col min="14609" max="14609" width="26.28515625" bestFit="1" customWidth="1"/>
    <col min="14853" max="14853" width="48.140625" bestFit="1" customWidth="1"/>
    <col min="14865" max="14865" width="26.28515625" bestFit="1" customWidth="1"/>
    <col min="15109" max="15109" width="48.140625" bestFit="1" customWidth="1"/>
    <col min="15121" max="15121" width="26.28515625" bestFit="1" customWidth="1"/>
    <col min="15365" max="15365" width="48.140625" bestFit="1" customWidth="1"/>
    <col min="15377" max="15377" width="26.28515625" bestFit="1" customWidth="1"/>
    <col min="15621" max="15621" width="48.140625" bestFit="1" customWidth="1"/>
    <col min="15633" max="15633" width="26.28515625" bestFit="1" customWidth="1"/>
    <col min="15877" max="15877" width="48.140625" bestFit="1" customWidth="1"/>
    <col min="15889" max="15889" width="26.28515625" bestFit="1" customWidth="1"/>
    <col min="16133" max="16133" width="48.140625" bestFit="1" customWidth="1"/>
    <col min="16145" max="16145" width="26.28515625" bestFit="1" customWidth="1"/>
  </cols>
  <sheetData>
    <row r="1" spans="1:23" s="55" customFormat="1" ht="23.25" x14ac:dyDescent="0.35">
      <c r="A1" s="22" t="str">
        <f>IS!A1</f>
        <v>Colgate-Palmolive Company</v>
      </c>
      <c r="F1" s="57"/>
      <c r="G1" s="57"/>
      <c r="H1" s="56"/>
    </row>
    <row r="2" spans="1:23" s="23" customFormat="1" ht="14.25" x14ac:dyDescent="0.2"/>
    <row r="3" spans="1:23" s="23" customFormat="1" ht="20.25" x14ac:dyDescent="0.3">
      <c r="A3" s="1" t="s">
        <v>190</v>
      </c>
    </row>
    <row r="4" spans="1:23" s="23" customFormat="1" ht="14.25" x14ac:dyDescent="0.2"/>
    <row r="5" spans="1:23" s="55" customFormat="1" ht="15.75" thickBot="1" x14ac:dyDescent="0.3">
      <c r="B5" s="163"/>
      <c r="C5" s="61">
        <f>BS!C5</f>
        <v>39447</v>
      </c>
      <c r="D5" s="61">
        <f>BS!D5</f>
        <v>39813</v>
      </c>
      <c r="E5" s="61">
        <f>BS!E5</f>
        <v>40178</v>
      </c>
      <c r="F5" s="61">
        <f>BS!F5</f>
        <v>40543</v>
      </c>
      <c r="G5" s="61">
        <f>BS!G5</f>
        <v>40908</v>
      </c>
      <c r="H5" s="61">
        <f>BS!H5</f>
        <v>41274</v>
      </c>
      <c r="I5" s="61">
        <f>BS!I5</f>
        <v>41639</v>
      </c>
      <c r="J5" s="61">
        <f>BS!J5</f>
        <v>42004</v>
      </c>
      <c r="K5" s="61">
        <f>BS!K5</f>
        <v>42369</v>
      </c>
      <c r="L5" s="61">
        <f>BS!L5</f>
        <v>42735</v>
      </c>
      <c r="M5" s="61">
        <f>BS!M5</f>
        <v>43100</v>
      </c>
      <c r="N5" s="335">
        <f>BS!N5</f>
        <v>43465</v>
      </c>
      <c r="O5" s="335">
        <f>BS!O5</f>
        <v>43830</v>
      </c>
      <c r="P5" s="335">
        <f>BS!P5</f>
        <v>44196</v>
      </c>
      <c r="Q5" s="335">
        <f>BS!Q5</f>
        <v>44561</v>
      </c>
      <c r="R5" s="335">
        <f>BS!R5</f>
        <v>44926</v>
      </c>
      <c r="S5" s="316"/>
    </row>
    <row r="6" spans="1:23" x14ac:dyDescent="0.25">
      <c r="B6" s="23" t="s">
        <v>98</v>
      </c>
      <c r="C6" s="254">
        <f>IS!C6</f>
        <v>13790</v>
      </c>
      <c r="D6" s="254">
        <f>IS!D6</f>
        <v>15330</v>
      </c>
      <c r="E6" s="254"/>
      <c r="F6" s="254"/>
      <c r="G6" s="254"/>
      <c r="H6" s="254"/>
      <c r="I6" s="254">
        <f>IS!I6</f>
        <v>17420</v>
      </c>
      <c r="J6" s="254">
        <f>IS!J6</f>
        <v>17277</v>
      </c>
      <c r="K6" s="254">
        <f>IS!K6</f>
        <v>16034</v>
      </c>
      <c r="L6" s="254">
        <f>IS!L6</f>
        <v>15195</v>
      </c>
      <c r="M6" s="254">
        <f>IS!M6</f>
        <v>15454</v>
      </c>
      <c r="N6" s="254">
        <f>IS!N6</f>
        <v>15813.322136768955</v>
      </c>
      <c r="O6" s="254">
        <f>IS!O6</f>
        <v>16185.715913757487</v>
      </c>
      <c r="P6" s="254">
        <f>IS!P6</f>
        <v>16571.756567922952</v>
      </c>
      <c r="Q6" s="254">
        <f>IS!Q6</f>
        <v>16972.046921899218</v>
      </c>
      <c r="R6" s="254">
        <f>IS!R6</f>
        <v>17387.218767622257</v>
      </c>
    </row>
    <row r="7" spans="1:23" x14ac:dyDescent="0.25">
      <c r="B7" s="23" t="s">
        <v>184</v>
      </c>
      <c r="C7" s="254">
        <f>IS!C7</f>
        <v>6043</v>
      </c>
      <c r="D7" s="254">
        <f>IS!D7</f>
        <v>6704</v>
      </c>
      <c r="E7" s="254"/>
      <c r="F7" s="254"/>
      <c r="G7" s="254"/>
      <c r="H7" s="254"/>
      <c r="I7" s="254">
        <f>IS!I7</f>
        <v>7219</v>
      </c>
      <c r="J7" s="254">
        <f>IS!J7</f>
        <v>7168</v>
      </c>
      <c r="K7" s="254">
        <f>IS!K7</f>
        <v>6635</v>
      </c>
      <c r="L7" s="254">
        <f>IS!L7</f>
        <v>6072</v>
      </c>
      <c r="M7" s="254">
        <f>IS!M7</f>
        <v>6174</v>
      </c>
      <c r="N7" s="254">
        <f>IS!N7</f>
        <v>6560.7393110123212</v>
      </c>
      <c r="O7" s="254">
        <f>IS!O7</f>
        <v>6715.2405897906856</v>
      </c>
      <c r="P7" s="254">
        <f>IS!P7</f>
        <v>6875.4037783684507</v>
      </c>
      <c r="Q7" s="254">
        <f>IS!Q7</f>
        <v>7041.4789799255423</v>
      </c>
      <c r="R7" s="254">
        <f>IS!R7</f>
        <v>7213.7283166242014</v>
      </c>
    </row>
    <row r="8" spans="1:23" x14ac:dyDescent="0.25">
      <c r="B8" s="23"/>
    </row>
    <row r="9" spans="1:23" x14ac:dyDescent="0.25">
      <c r="B9" s="164" t="s">
        <v>100</v>
      </c>
    </row>
    <row r="10" spans="1:23" x14ac:dyDescent="0.25">
      <c r="B10" s="5" t="s">
        <v>230</v>
      </c>
      <c r="C10" s="152">
        <f>BS!C9</f>
        <v>1681</v>
      </c>
      <c r="D10" s="152">
        <f>BS!D9</f>
        <v>1592</v>
      </c>
      <c r="E10" s="152"/>
      <c r="F10" s="152"/>
      <c r="G10" s="152"/>
      <c r="H10" s="152"/>
      <c r="I10" s="152">
        <f>BS!I9</f>
        <v>1636</v>
      </c>
      <c r="J10" s="152">
        <f>BS!J9</f>
        <v>1552</v>
      </c>
      <c r="K10" s="152">
        <f>BS!K9</f>
        <v>1427</v>
      </c>
      <c r="L10" s="152">
        <f>BS!L9</f>
        <v>1411</v>
      </c>
      <c r="M10" s="152">
        <f>BS!M9</f>
        <v>1480</v>
      </c>
      <c r="N10" s="152">
        <f t="shared" ref="N10:R11" ca="1" si="0">N27/$V$10*N6</f>
        <v>1545.6335650994213</v>
      </c>
      <c r="O10" s="152">
        <f t="shared" ca="1" si="0"/>
        <v>1582.0322621075143</v>
      </c>
      <c r="P10" s="152">
        <f t="shared" ca="1" si="0"/>
        <v>1619.764838944338</v>
      </c>
      <c r="Q10" s="152">
        <f t="shared" ca="1" si="0"/>
        <v>1658.890216998368</v>
      </c>
      <c r="R10" s="152">
        <f t="shared" ca="1" si="0"/>
        <v>1699.470149189955</v>
      </c>
      <c r="S10" s="23"/>
      <c r="T10" s="23"/>
      <c r="U10" t="s">
        <v>99</v>
      </c>
      <c r="V10">
        <v>365</v>
      </c>
      <c r="W10" s="23"/>
    </row>
    <row r="11" spans="1:23" x14ac:dyDescent="0.25">
      <c r="B11" s="5" t="s">
        <v>25</v>
      </c>
      <c r="C11" s="152">
        <f>BS!C10</f>
        <v>1171</v>
      </c>
      <c r="D11" s="152">
        <f>BS!D10</f>
        <v>1197</v>
      </c>
      <c r="E11" s="152"/>
      <c r="F11" s="152"/>
      <c r="G11" s="152"/>
      <c r="H11" s="152"/>
      <c r="I11" s="152">
        <f>BS!I10</f>
        <v>1425</v>
      </c>
      <c r="J11" s="152">
        <f>BS!J10</f>
        <v>1382</v>
      </c>
      <c r="K11" s="152">
        <f>BS!K10</f>
        <v>1180</v>
      </c>
      <c r="L11" s="152">
        <f>BS!L10</f>
        <v>1171</v>
      </c>
      <c r="M11" s="152">
        <f>BS!M10</f>
        <v>1221</v>
      </c>
      <c r="N11" s="152">
        <f t="shared" ca="1" si="0"/>
        <v>1371.1838632133795</v>
      </c>
      <c r="O11" s="152">
        <f t="shared" ca="1" si="0"/>
        <v>1403.4743796116047</v>
      </c>
      <c r="P11" s="152">
        <f t="shared" ca="1" si="0"/>
        <v>1436.948225964562</v>
      </c>
      <c r="Q11" s="152">
        <f t="shared" ca="1" si="0"/>
        <v>1471.6576734307587</v>
      </c>
      <c r="R11" s="152">
        <f t="shared" ca="1" si="0"/>
        <v>1507.6575051164909</v>
      </c>
      <c r="S11" s="23"/>
      <c r="T11" s="23"/>
      <c r="U11" s="23"/>
    </row>
    <row r="12" spans="1:23" x14ac:dyDescent="0.25">
      <c r="B12" s="5" t="s">
        <v>26</v>
      </c>
      <c r="C12" s="152">
        <f>BS!C11</f>
        <v>338</v>
      </c>
      <c r="D12" s="152">
        <f>BS!D11</f>
        <v>366</v>
      </c>
      <c r="E12" s="152"/>
      <c r="F12" s="152"/>
      <c r="G12" s="152"/>
      <c r="H12" s="152"/>
      <c r="I12" s="152">
        <f>BS!I11</f>
        <v>799</v>
      </c>
      <c r="J12" s="152">
        <f>BS!J11</f>
        <v>840</v>
      </c>
      <c r="K12" s="152">
        <f>BS!K11</f>
        <v>807</v>
      </c>
      <c r="L12" s="152">
        <f>BS!L11</f>
        <v>441</v>
      </c>
      <c r="M12" s="152">
        <f>BS!M11</f>
        <v>403</v>
      </c>
      <c r="N12" s="152">
        <f>N29*N6</f>
        <v>474.39966410306863</v>
      </c>
      <c r="O12" s="152">
        <f>O29*O6</f>
        <v>485.57147741272462</v>
      </c>
      <c r="P12" s="152">
        <f>P29*P6</f>
        <v>497.15269703768854</v>
      </c>
      <c r="Q12" s="152">
        <f>Q29*Q6</f>
        <v>509.16140765697651</v>
      </c>
      <c r="R12" s="152">
        <f>R29*R6</f>
        <v>521.61656302866766</v>
      </c>
      <c r="S12" s="23"/>
      <c r="T12" s="23"/>
      <c r="U12" s="23"/>
    </row>
    <row r="13" spans="1:23" ht="15.75" thickBot="1" x14ac:dyDescent="0.3">
      <c r="B13" s="165" t="s">
        <v>101</v>
      </c>
      <c r="C13" s="161">
        <f>SUM(C10:C12)</f>
        <v>3190</v>
      </c>
      <c r="D13" s="161">
        <f>SUM(D10:D12)</f>
        <v>3155</v>
      </c>
      <c r="E13" s="161"/>
      <c r="F13" s="161"/>
      <c r="G13" s="161"/>
      <c r="H13" s="161"/>
      <c r="I13" s="161">
        <f>SUM(I10:I12)</f>
        <v>3860</v>
      </c>
      <c r="J13" s="161">
        <f t="shared" ref="J13:R13" si="1">SUM(J10:J12)</f>
        <v>3774</v>
      </c>
      <c r="K13" s="161">
        <f t="shared" si="1"/>
        <v>3414</v>
      </c>
      <c r="L13" s="161">
        <f t="shared" si="1"/>
        <v>3023</v>
      </c>
      <c r="M13" s="161">
        <f t="shared" si="1"/>
        <v>3104</v>
      </c>
      <c r="N13" s="161">
        <f t="shared" ca="1" si="1"/>
        <v>3391.2170924158695</v>
      </c>
      <c r="O13" s="161">
        <f t="shared" ca="1" si="1"/>
        <v>3471.0781191318438</v>
      </c>
      <c r="P13" s="161">
        <f t="shared" ca="1" si="1"/>
        <v>3553.8657619465885</v>
      </c>
      <c r="Q13" s="161">
        <f t="shared" ca="1" si="1"/>
        <v>3639.7092980861034</v>
      </c>
      <c r="R13" s="161">
        <f t="shared" ca="1" si="1"/>
        <v>3728.7442173351137</v>
      </c>
      <c r="S13" s="23"/>
      <c r="T13" s="23"/>
      <c r="U13" s="23"/>
    </row>
    <row r="14" spans="1:23" x14ac:dyDescent="0.25">
      <c r="B14" s="23"/>
      <c r="C14" s="153"/>
      <c r="D14" s="153"/>
      <c r="E14" s="153"/>
      <c r="F14" s="153"/>
      <c r="G14" s="153"/>
      <c r="H14" s="153"/>
      <c r="I14" s="153"/>
      <c r="J14" s="153"/>
      <c r="K14" s="153"/>
      <c r="L14" s="153"/>
      <c r="M14" s="153"/>
      <c r="N14" s="153"/>
      <c r="O14" s="153"/>
      <c r="P14" s="153"/>
      <c r="Q14" s="153"/>
      <c r="R14" s="153"/>
      <c r="S14" s="23"/>
      <c r="T14" s="23"/>
      <c r="U14" s="23"/>
    </row>
    <row r="15" spans="1:23" x14ac:dyDescent="0.25">
      <c r="B15" s="5" t="s">
        <v>38</v>
      </c>
      <c r="C15" s="152">
        <f>BS!C25</f>
        <v>1067</v>
      </c>
      <c r="D15" s="152">
        <f>BS!D25</f>
        <v>1061</v>
      </c>
      <c r="E15" s="152"/>
      <c r="F15" s="152"/>
      <c r="G15" s="152"/>
      <c r="H15" s="152"/>
      <c r="I15" s="152">
        <f>BS!I25</f>
        <v>1343</v>
      </c>
      <c r="J15" s="152">
        <f>BS!J25</f>
        <v>1231</v>
      </c>
      <c r="K15" s="152">
        <f>BS!K25</f>
        <v>1110</v>
      </c>
      <c r="L15" s="152">
        <f>BS!L25</f>
        <v>1124</v>
      </c>
      <c r="M15" s="152">
        <f>BS!M25</f>
        <v>1212</v>
      </c>
      <c r="N15" s="152">
        <f ca="1">N31/$V$10*N24</f>
        <v>1287.0263621802712</v>
      </c>
      <c r="O15" s="152">
        <f ca="1">O31/$V$10*O24</f>
        <v>1294.0470614608869</v>
      </c>
      <c r="P15" s="152">
        <f ca="1">P31/$V$10*P24</f>
        <v>1324.9902293986263</v>
      </c>
      <c r="Q15" s="152">
        <f ca="1">Q31/$V$10*Q24</f>
        <v>1357.0772326504705</v>
      </c>
      <c r="R15" s="152">
        <f ca="1">R31/$V$10*R24</f>
        <v>1390.3588229635488</v>
      </c>
      <c r="S15" s="23"/>
      <c r="T15" s="23"/>
      <c r="U15" s="23"/>
    </row>
    <row r="16" spans="1:23" x14ac:dyDescent="0.25">
      <c r="B16" s="5" t="s">
        <v>39</v>
      </c>
      <c r="C16" s="152">
        <f>BS!C26</f>
        <v>263</v>
      </c>
      <c r="D16" s="152">
        <f>BS!D26</f>
        <v>272</v>
      </c>
      <c r="E16" s="152"/>
      <c r="F16" s="152"/>
      <c r="G16" s="152"/>
      <c r="H16" s="152"/>
      <c r="I16" s="152">
        <f>BS!I26</f>
        <v>239</v>
      </c>
      <c r="J16" s="152">
        <f>BS!J26</f>
        <v>294</v>
      </c>
      <c r="K16" s="152">
        <f>BS!K26</f>
        <v>277</v>
      </c>
      <c r="L16" s="152">
        <f>BS!L26</f>
        <v>441</v>
      </c>
      <c r="M16" s="152">
        <f>BS!M26</f>
        <v>354</v>
      </c>
      <c r="N16" s="152">
        <f>N32*N7</f>
        <v>393.64435866073927</v>
      </c>
      <c r="O16" s="152">
        <f>O32*O7</f>
        <v>402.91443538744113</v>
      </c>
      <c r="P16" s="152">
        <f>P32*P7</f>
        <v>412.524226702107</v>
      </c>
      <c r="Q16" s="152">
        <f>Q32*Q7</f>
        <v>422.48873879553253</v>
      </c>
      <c r="R16" s="152">
        <f>R32*R7</f>
        <v>432.82369899745208</v>
      </c>
      <c r="S16" s="23"/>
      <c r="T16" s="23"/>
      <c r="U16" s="23"/>
    </row>
    <row r="17" spans="2:21" x14ac:dyDescent="0.25">
      <c r="B17" s="5" t="s">
        <v>40</v>
      </c>
      <c r="C17" s="152">
        <f>BS!C27</f>
        <v>1539</v>
      </c>
      <c r="D17" s="152">
        <f>BS!D27</f>
        <v>1421</v>
      </c>
      <c r="E17" s="152"/>
      <c r="F17" s="152"/>
      <c r="G17" s="152"/>
      <c r="H17" s="152"/>
      <c r="I17" s="152">
        <f>BS!I27</f>
        <v>1980</v>
      </c>
      <c r="J17" s="152">
        <f>BS!J27</f>
        <v>1917</v>
      </c>
      <c r="K17" s="152">
        <f>BS!K27</f>
        <v>1845</v>
      </c>
      <c r="L17" s="152">
        <f>BS!L27</f>
        <v>3305</v>
      </c>
      <c r="M17" s="152">
        <f>BS!M27</f>
        <v>3408</v>
      </c>
      <c r="N17" s="152">
        <f>N33*N7</f>
        <v>1968.2217933036964</v>
      </c>
      <c r="O17" s="152">
        <f>O33*O7</f>
        <v>2014.5721769372055</v>
      </c>
      <c r="P17" s="152">
        <f>P33*P7</f>
        <v>2062.6211335105349</v>
      </c>
      <c r="Q17" s="152">
        <f>Q33*Q7</f>
        <v>2112.4436939776624</v>
      </c>
      <c r="R17" s="152">
        <f>R33*R7</f>
        <v>2164.1184949872604</v>
      </c>
      <c r="S17" s="23"/>
      <c r="T17" s="23"/>
      <c r="U17" s="23"/>
    </row>
    <row r="18" spans="2:21" ht="15.75" thickBot="1" x14ac:dyDescent="0.3">
      <c r="B18" s="165" t="s">
        <v>102</v>
      </c>
      <c r="C18" s="162">
        <f>SUM(C15:C17)</f>
        <v>2869</v>
      </c>
      <c r="D18" s="162">
        <f>SUM(D15:D17)</f>
        <v>2754</v>
      </c>
      <c r="E18" s="162"/>
      <c r="F18" s="162"/>
      <c r="G18" s="162"/>
      <c r="H18" s="162"/>
      <c r="I18" s="162">
        <f>SUM(I15:I17)</f>
        <v>3562</v>
      </c>
      <c r="J18" s="162">
        <f t="shared" ref="J18:R18" si="2">SUM(J15:J17)</f>
        <v>3442</v>
      </c>
      <c r="K18" s="162">
        <f t="shared" si="2"/>
        <v>3232</v>
      </c>
      <c r="L18" s="162">
        <f t="shared" si="2"/>
        <v>4870</v>
      </c>
      <c r="M18" s="162">
        <f t="shared" si="2"/>
        <v>4974</v>
      </c>
      <c r="N18" s="162">
        <f t="shared" ca="1" si="2"/>
        <v>3648.8925141447071</v>
      </c>
      <c r="O18" s="162">
        <f t="shared" ca="1" si="2"/>
        <v>3711.5336737855332</v>
      </c>
      <c r="P18" s="162">
        <f t="shared" ca="1" si="2"/>
        <v>3800.1355896112682</v>
      </c>
      <c r="Q18" s="162">
        <f t="shared" ca="1" si="2"/>
        <v>3892.0096654236654</v>
      </c>
      <c r="R18" s="162">
        <f t="shared" ca="1" si="2"/>
        <v>3987.3010169482613</v>
      </c>
      <c r="S18" s="23"/>
      <c r="T18" s="23"/>
      <c r="U18" s="23"/>
    </row>
    <row r="19" spans="2:21" x14ac:dyDescent="0.25">
      <c r="B19" s="23"/>
      <c r="C19" s="153"/>
      <c r="D19" s="153"/>
      <c r="E19" s="153"/>
      <c r="F19" s="153"/>
      <c r="G19" s="153"/>
      <c r="H19" s="153"/>
      <c r="I19" s="153"/>
      <c r="J19" s="153"/>
      <c r="K19" s="153"/>
      <c r="L19" s="153"/>
      <c r="M19" s="153"/>
      <c r="N19" s="153"/>
      <c r="O19" s="153"/>
      <c r="P19" s="153"/>
      <c r="Q19" s="153"/>
      <c r="R19" s="153"/>
      <c r="S19" s="23"/>
      <c r="T19" s="23"/>
      <c r="U19" s="23"/>
    </row>
    <row r="20" spans="2:21" x14ac:dyDescent="0.25">
      <c r="B20" s="24" t="s">
        <v>103</v>
      </c>
      <c r="C20" s="154">
        <f>C13-C18</f>
        <v>321</v>
      </c>
      <c r="D20" s="154">
        <f>D13-D18</f>
        <v>401</v>
      </c>
      <c r="E20" s="154"/>
      <c r="F20" s="154"/>
      <c r="G20" s="154"/>
      <c r="H20" s="154"/>
      <c r="I20" s="154">
        <f>I13-I18</f>
        <v>298</v>
      </c>
      <c r="J20" s="154">
        <f t="shared" ref="J20:R20" si="3">J13-J18</f>
        <v>332</v>
      </c>
      <c r="K20" s="154">
        <f t="shared" si="3"/>
        <v>182</v>
      </c>
      <c r="L20" s="154">
        <f t="shared" si="3"/>
        <v>-1847</v>
      </c>
      <c r="M20" s="154">
        <f t="shared" si="3"/>
        <v>-1870</v>
      </c>
      <c r="N20" s="154">
        <f t="shared" ca="1" si="3"/>
        <v>-257.67542172883759</v>
      </c>
      <c r="O20" s="154">
        <f t="shared" ca="1" si="3"/>
        <v>-240.45555465368943</v>
      </c>
      <c r="P20" s="154">
        <f t="shared" ca="1" si="3"/>
        <v>-246.26982766467972</v>
      </c>
      <c r="Q20" s="154">
        <f t="shared" ca="1" si="3"/>
        <v>-252.30036733756197</v>
      </c>
      <c r="R20" s="154">
        <f t="shared" ca="1" si="3"/>
        <v>-258.55679961314763</v>
      </c>
      <c r="S20" s="23"/>
      <c r="T20" s="23"/>
      <c r="U20" s="23"/>
    </row>
    <row r="21" spans="2:21" x14ac:dyDescent="0.25">
      <c r="B21" s="23"/>
      <c r="C21" s="153"/>
      <c r="D21" s="153"/>
      <c r="E21" s="153"/>
      <c r="F21" s="153"/>
      <c r="G21" s="153"/>
      <c r="H21" s="153"/>
      <c r="I21" s="153"/>
      <c r="J21" s="153"/>
      <c r="K21" s="153"/>
      <c r="L21" s="153"/>
      <c r="M21" s="153"/>
      <c r="N21" s="153"/>
      <c r="O21" s="153"/>
      <c r="P21" s="153"/>
      <c r="Q21" s="153"/>
      <c r="R21" s="153"/>
      <c r="S21" s="23"/>
      <c r="T21" s="23"/>
      <c r="U21" s="23"/>
    </row>
    <row r="22" spans="2:21" x14ac:dyDescent="0.25">
      <c r="B22" s="23" t="s">
        <v>104</v>
      </c>
      <c r="C22" s="155"/>
      <c r="D22" s="154">
        <f>C20-D20</f>
        <v>-80</v>
      </c>
      <c r="E22" s="154"/>
      <c r="F22" s="154"/>
      <c r="G22" s="154"/>
      <c r="H22" s="154"/>
      <c r="I22" s="154"/>
      <c r="J22" s="154">
        <f>I20-J20</f>
        <v>-34</v>
      </c>
      <c r="K22" s="154">
        <f t="shared" ref="K22:R22" si="4">J20-K20</f>
        <v>150</v>
      </c>
      <c r="L22" s="154">
        <f t="shared" si="4"/>
        <v>2029</v>
      </c>
      <c r="M22" s="154">
        <f t="shared" si="4"/>
        <v>23</v>
      </c>
      <c r="N22" s="154">
        <f t="shared" ca="1" si="4"/>
        <v>-1612.3245782711624</v>
      </c>
      <c r="O22" s="154">
        <f t="shared" ca="1" si="4"/>
        <v>-17.219867075148159</v>
      </c>
      <c r="P22" s="154">
        <f t="shared" ca="1" si="4"/>
        <v>5.8142730109902914</v>
      </c>
      <c r="Q22" s="154">
        <f t="shared" ca="1" si="4"/>
        <v>6.0305396728822416</v>
      </c>
      <c r="R22" s="154">
        <f t="shared" ca="1" si="4"/>
        <v>6.2564322755856665</v>
      </c>
      <c r="S22" s="23"/>
      <c r="T22" s="23"/>
      <c r="U22" s="23"/>
    </row>
    <row r="23" spans="2:21" ht="15.75" thickBot="1" x14ac:dyDescent="0.3">
      <c r="B23" s="23"/>
      <c r="C23" s="153"/>
      <c r="D23" s="153"/>
      <c r="E23" s="153"/>
      <c r="F23" s="153"/>
      <c r="G23" s="153"/>
      <c r="H23" s="153"/>
      <c r="I23" s="153"/>
      <c r="J23" s="153"/>
      <c r="K23" s="153"/>
      <c r="L23" s="153"/>
      <c r="M23" s="153"/>
      <c r="N23" s="153"/>
      <c r="O23" s="153"/>
      <c r="P23" s="153"/>
      <c r="Q23" s="153"/>
      <c r="R23" s="153"/>
      <c r="S23" s="23"/>
      <c r="T23" s="23"/>
      <c r="U23" s="23"/>
    </row>
    <row r="24" spans="2:21" ht="15.75" thickBot="1" x14ac:dyDescent="0.3">
      <c r="B24" s="239" t="s">
        <v>185</v>
      </c>
      <c r="C24" s="240"/>
      <c r="D24" s="240">
        <f>D7+D11-C11</f>
        <v>6730</v>
      </c>
      <c r="E24" s="240"/>
      <c r="F24" s="240"/>
      <c r="G24" s="240"/>
      <c r="H24" s="240"/>
      <c r="I24" s="240"/>
      <c r="J24" s="240">
        <f>J7+J11-I11</f>
        <v>7125</v>
      </c>
      <c r="K24" s="240">
        <f t="shared" ref="K24:R24" si="5">K7+K11-J11</f>
        <v>6433</v>
      </c>
      <c r="L24" s="240">
        <f t="shared" si="5"/>
        <v>6063</v>
      </c>
      <c r="M24" s="240">
        <f t="shared" si="5"/>
        <v>6224</v>
      </c>
      <c r="N24" s="240">
        <f t="shared" ca="1" si="5"/>
        <v>6710.9231742257007</v>
      </c>
      <c r="O24" s="240">
        <f t="shared" ca="1" si="5"/>
        <v>6747.5311061889106</v>
      </c>
      <c r="P24" s="240">
        <f t="shared" ca="1" si="5"/>
        <v>6908.8776247214091</v>
      </c>
      <c r="Q24" s="240">
        <f t="shared" ca="1" si="5"/>
        <v>7076.1884273917394</v>
      </c>
      <c r="R24" s="240">
        <f t="shared" ca="1" si="5"/>
        <v>7249.7281483099341</v>
      </c>
      <c r="S24" s="23"/>
      <c r="T24" s="23"/>
      <c r="U24" s="23"/>
    </row>
    <row r="25" spans="2:21" x14ac:dyDescent="0.25">
      <c r="B25" s="23"/>
      <c r="C25" s="153"/>
      <c r="J25" s="153"/>
      <c r="K25" s="153"/>
      <c r="L25" s="153"/>
      <c r="M25" s="153"/>
      <c r="N25" s="153"/>
      <c r="O25" s="153"/>
      <c r="P25" s="153"/>
      <c r="Q25" s="153"/>
      <c r="R25" s="153"/>
      <c r="S25" s="23"/>
      <c r="T25" s="23"/>
      <c r="U25" s="23"/>
    </row>
    <row r="26" spans="2:21" x14ac:dyDescent="0.25">
      <c r="B26" s="164" t="s">
        <v>105</v>
      </c>
      <c r="C26" s="153"/>
      <c r="D26" s="153"/>
      <c r="E26" s="153"/>
      <c r="F26" s="153"/>
      <c r="G26" s="153"/>
      <c r="H26" s="153"/>
      <c r="I26" s="153"/>
      <c r="J26" s="153"/>
      <c r="K26" s="153"/>
      <c r="L26" s="153"/>
      <c r="M26" s="153"/>
      <c r="N26" s="153"/>
      <c r="O26" s="153"/>
      <c r="P26" s="153"/>
      <c r="Q26" s="153"/>
      <c r="R26" s="153"/>
      <c r="S26" s="23"/>
      <c r="T26" s="23"/>
      <c r="U26" s="23"/>
    </row>
    <row r="27" spans="2:21" x14ac:dyDescent="0.25">
      <c r="B27" s="23" t="s">
        <v>106</v>
      </c>
      <c r="C27" s="153">
        <f>$V$10/(C6/C10)</f>
        <v>44.493473531544602</v>
      </c>
      <c r="D27" s="153">
        <f>$V$10/(D6/D10)</f>
        <v>37.904761904761905</v>
      </c>
      <c r="E27" s="153"/>
      <c r="F27" s="153"/>
      <c r="G27" s="153"/>
      <c r="H27" s="153"/>
      <c r="I27" s="153">
        <f>Ratios!D18</f>
        <v>33.398966704936853</v>
      </c>
      <c r="J27" s="153">
        <f>Ratios!E18</f>
        <v>31.46770272616774</v>
      </c>
      <c r="K27" s="153">
        <f>Ratios!F18</f>
        <v>32.30229512286391</v>
      </c>
      <c r="L27" s="153">
        <f>Ratios!G18</f>
        <v>34.722441592629153</v>
      </c>
      <c r="M27" s="153">
        <f ca="1">Ratios!H18</f>
        <v>35.676010795322959</v>
      </c>
      <c r="N27" s="276">
        <f ca="1">$M$27</f>
        <v>35.676010795322959</v>
      </c>
      <c r="O27" s="276">
        <f ca="1">$M$27</f>
        <v>35.676010795322959</v>
      </c>
      <c r="P27" s="276">
        <f ca="1">$M$27</f>
        <v>35.676010795322959</v>
      </c>
      <c r="Q27" s="276">
        <f ca="1">$M$27</f>
        <v>35.676010795322959</v>
      </c>
      <c r="R27" s="276">
        <f ca="1">$M$27</f>
        <v>35.676010795322959</v>
      </c>
      <c r="S27" s="23"/>
      <c r="T27" s="23"/>
      <c r="U27" s="23"/>
    </row>
    <row r="28" spans="2:21" x14ac:dyDescent="0.25">
      <c r="B28" s="23" t="s">
        <v>107</v>
      </c>
      <c r="C28" s="153">
        <f>$V$10/(C7/C11)</f>
        <v>70.728942578189645</v>
      </c>
      <c r="D28" s="153">
        <f>$V$10/(D7/D11)</f>
        <v>65.170793556085926</v>
      </c>
      <c r="E28" s="153"/>
      <c r="F28" s="153"/>
      <c r="G28" s="153"/>
      <c r="H28" s="153"/>
      <c r="I28" s="153">
        <f>Ratios!D19</f>
        <v>70.962390912868827</v>
      </c>
      <c r="J28" s="153">
        <f>Ratios!E19</f>
        <v>65.2294921875</v>
      </c>
      <c r="K28" s="153">
        <f>Ratios!F19</f>
        <v>64.665787490580257</v>
      </c>
      <c r="L28" s="153">
        <f>Ratios!G19</f>
        <v>71.893939393939391</v>
      </c>
      <c r="M28" s="153">
        <f ca="1">Ratios!H19</f>
        <v>76.284407343058902</v>
      </c>
      <c r="N28" s="276">
        <f ca="1">$M$28</f>
        <v>76.284407343058902</v>
      </c>
      <c r="O28" s="276">
        <f ca="1">$M$28</f>
        <v>76.284407343058902</v>
      </c>
      <c r="P28" s="276">
        <f ca="1">$M$28</f>
        <v>76.284407343058902</v>
      </c>
      <c r="Q28" s="276">
        <f ca="1">$M$28</f>
        <v>76.284407343058902</v>
      </c>
      <c r="R28" s="276">
        <f ca="1">$M$28</f>
        <v>76.284407343058902</v>
      </c>
      <c r="S28" s="23"/>
      <c r="T28" s="23"/>
      <c r="U28" s="23"/>
    </row>
    <row r="29" spans="2:21" x14ac:dyDescent="0.25">
      <c r="B29" s="23" t="s">
        <v>108</v>
      </c>
      <c r="C29" s="157">
        <f>C12/C6</f>
        <v>2.4510514865844817E-2</v>
      </c>
      <c r="D29" s="157">
        <f>D12/D6</f>
        <v>2.3874755381604697E-2</v>
      </c>
      <c r="E29" s="157"/>
      <c r="F29" s="157"/>
      <c r="G29" s="157"/>
      <c r="H29" s="157"/>
      <c r="I29" s="334">
        <f>BS!I11/IS!I6</f>
        <v>4.5866819747416764E-2</v>
      </c>
      <c r="J29" s="334">
        <f>BS!J11/IS!J6</f>
        <v>4.8619552005556517E-2</v>
      </c>
      <c r="K29" s="334">
        <f>BS!K11/IS!K6</f>
        <v>5.0330547586378942E-2</v>
      </c>
      <c r="L29" s="334">
        <f>BS!L11/IS!L6</f>
        <v>2.9022704837117472E-2</v>
      </c>
      <c r="M29" s="334">
        <f>BS!M11/IS!M6</f>
        <v>2.6077390966740003E-2</v>
      </c>
      <c r="N29" s="352">
        <f>3%</f>
        <v>0.03</v>
      </c>
      <c r="O29" s="352">
        <f>3%</f>
        <v>0.03</v>
      </c>
      <c r="P29" s="352">
        <f>3%</f>
        <v>0.03</v>
      </c>
      <c r="Q29" s="352">
        <f>3%</f>
        <v>0.03</v>
      </c>
      <c r="R29" s="352">
        <f>3%</f>
        <v>0.03</v>
      </c>
      <c r="S29" s="23"/>
      <c r="T29" s="23"/>
      <c r="U29" s="23"/>
    </row>
    <row r="30" spans="2:21" x14ac:dyDescent="0.25">
      <c r="B30" s="23"/>
      <c r="C30" s="153"/>
      <c r="D30" s="153"/>
      <c r="E30" s="153"/>
      <c r="F30" s="153"/>
      <c r="G30" s="153"/>
      <c r="H30" s="153"/>
      <c r="I30" s="153"/>
      <c r="J30" s="195"/>
      <c r="K30" s="195"/>
      <c r="L30" s="195"/>
      <c r="M30" s="195"/>
      <c r="N30" s="17"/>
      <c r="O30" s="17"/>
      <c r="P30" s="17"/>
      <c r="Q30" s="17"/>
      <c r="R30" s="17"/>
      <c r="S30" s="23"/>
      <c r="T30" s="23"/>
      <c r="U30" s="23"/>
    </row>
    <row r="31" spans="2:21" x14ac:dyDescent="0.25">
      <c r="B31" s="23" t="s">
        <v>109</v>
      </c>
      <c r="C31" s="153"/>
      <c r="D31" s="153">
        <f>$V$10/(D24/D15)</f>
        <v>57.543090638930167</v>
      </c>
      <c r="E31" s="153"/>
      <c r="F31" s="153"/>
      <c r="G31" s="153"/>
      <c r="H31" s="153"/>
      <c r="I31" s="153">
        <f>Ratios!D20</f>
        <v>65.07203213741515</v>
      </c>
      <c r="J31" s="153">
        <f>Ratios!E20</f>
        <v>59.602748325892854</v>
      </c>
      <c r="K31" s="153">
        <f>Ratios!F20</f>
        <v>61.44762622456669</v>
      </c>
      <c r="L31" s="153">
        <f>Ratios!G20</f>
        <v>70.210803689064562</v>
      </c>
      <c r="M31" s="153">
        <f ca="1">Ratios!H20</f>
        <v>73.804793350686509</v>
      </c>
      <c r="N31" s="276">
        <f>70</f>
        <v>70</v>
      </c>
      <c r="O31" s="276">
        <f>70</f>
        <v>70</v>
      </c>
      <c r="P31" s="276">
        <f>70</f>
        <v>70</v>
      </c>
      <c r="Q31" s="276">
        <f>70</f>
        <v>70</v>
      </c>
      <c r="R31" s="276">
        <f>70</f>
        <v>70</v>
      </c>
      <c r="S31" s="23"/>
      <c r="T31" s="23"/>
      <c r="U31" s="23"/>
    </row>
    <row r="32" spans="2:21" x14ac:dyDescent="0.25">
      <c r="B32" s="23" t="s">
        <v>186</v>
      </c>
      <c r="C32" s="155"/>
      <c r="D32" s="157">
        <f>D16/D7</f>
        <v>4.0572792362768499E-2</v>
      </c>
      <c r="E32" s="157"/>
      <c r="F32" s="157"/>
      <c r="G32" s="157"/>
      <c r="H32" s="157"/>
      <c r="I32" s="157">
        <f>BS!I26/IS!I7</f>
        <v>3.3107078542734453E-2</v>
      </c>
      <c r="J32" s="157">
        <f>BS!J26/IS!J7</f>
        <v>4.1015625E-2</v>
      </c>
      <c r="K32" s="157">
        <f>BS!K26/IS!K7</f>
        <v>4.1748304446119065E-2</v>
      </c>
      <c r="L32" s="157">
        <f>BS!L26/IS!L7</f>
        <v>7.2628458498023712E-2</v>
      </c>
      <c r="M32" s="157">
        <f>BS!M26/IS!M7</f>
        <v>5.7337220602526724E-2</v>
      </c>
      <c r="N32" s="353">
        <f>6%</f>
        <v>0.06</v>
      </c>
      <c r="O32" s="353">
        <f>6%</f>
        <v>0.06</v>
      </c>
      <c r="P32" s="353">
        <f>6%</f>
        <v>0.06</v>
      </c>
      <c r="Q32" s="353">
        <f>6%</f>
        <v>0.06</v>
      </c>
      <c r="R32" s="353">
        <f>6%</f>
        <v>0.06</v>
      </c>
      <c r="S32" s="23"/>
      <c r="T32" s="23"/>
      <c r="U32" s="23"/>
    </row>
    <row r="33" spans="2:21" x14ac:dyDescent="0.25">
      <c r="B33" s="23" t="s">
        <v>187</v>
      </c>
      <c r="C33" s="155"/>
      <c r="D33" s="157">
        <f>D17/D7</f>
        <v>0.21196300715990454</v>
      </c>
      <c r="E33" s="157"/>
      <c r="F33" s="157"/>
      <c r="G33" s="157"/>
      <c r="H33" s="157"/>
      <c r="I33" s="157">
        <f>BS!I27/IS!I7</f>
        <v>0.2742762155423189</v>
      </c>
      <c r="J33" s="157">
        <f>BS!J27/IS!J7</f>
        <v>0.26743861607142855</v>
      </c>
      <c r="K33" s="157">
        <f>BS!K27/IS!K7</f>
        <v>0.27807083647324793</v>
      </c>
      <c r="L33" s="157">
        <f>BS!L27/IS!L7</f>
        <v>0.54430171277997363</v>
      </c>
      <c r="M33" s="157">
        <f>BS!M27/IS!M7</f>
        <v>0.5519922254616132</v>
      </c>
      <c r="N33" s="353">
        <v>0.3</v>
      </c>
      <c r="O33" s="353">
        <v>0.3</v>
      </c>
      <c r="P33" s="353">
        <v>0.3</v>
      </c>
      <c r="Q33" s="353">
        <f>30%</f>
        <v>0.3</v>
      </c>
      <c r="R33" s="353">
        <f>30%</f>
        <v>0.3</v>
      </c>
      <c r="S33" s="23"/>
      <c r="T33" s="23"/>
      <c r="U33" s="23"/>
    </row>
    <row r="34" spans="2:21" x14ac:dyDescent="0.25">
      <c r="B34" s="23"/>
      <c r="C34" s="153"/>
      <c r="D34" s="153"/>
      <c r="E34" s="153"/>
      <c r="F34" s="153"/>
      <c r="G34" s="153"/>
      <c r="H34" s="153"/>
      <c r="I34" s="153"/>
      <c r="J34" s="153"/>
      <c r="K34" s="153"/>
      <c r="L34" s="153"/>
      <c r="M34" s="153"/>
      <c r="N34" s="153"/>
      <c r="O34" s="153"/>
      <c r="P34" s="153"/>
      <c r="Q34" s="153"/>
      <c r="R34" s="153"/>
      <c r="S34" s="23"/>
      <c r="T34" s="23"/>
      <c r="U34" s="23"/>
    </row>
    <row r="35" spans="2:21" x14ac:dyDescent="0.25">
      <c r="B35" s="164" t="s">
        <v>110</v>
      </c>
      <c r="C35" s="153"/>
      <c r="D35" s="153"/>
      <c r="E35" s="153"/>
      <c r="F35" s="153"/>
      <c r="G35" s="153"/>
      <c r="H35" s="153"/>
      <c r="I35" s="153"/>
      <c r="J35" s="153"/>
      <c r="K35" s="153"/>
      <c r="L35" s="153"/>
      <c r="M35" s="153"/>
      <c r="N35" s="153"/>
      <c r="O35" s="153"/>
      <c r="P35" s="153"/>
      <c r="Q35" s="153"/>
      <c r="R35" s="153"/>
      <c r="S35" s="23"/>
      <c r="T35" s="23"/>
      <c r="U35" s="23"/>
    </row>
    <row r="36" spans="2:21" x14ac:dyDescent="0.25">
      <c r="B36" s="5" t="s">
        <v>24</v>
      </c>
      <c r="C36" s="153"/>
      <c r="D36" s="155"/>
      <c r="E36" s="155"/>
      <c r="F36" s="155"/>
      <c r="G36" s="155"/>
      <c r="H36" s="155"/>
      <c r="I36" s="155"/>
      <c r="J36" s="155">
        <f>I10-J10</f>
        <v>84</v>
      </c>
      <c r="K36" s="155">
        <f t="shared" ref="K36:R36" si="6">J10-K10</f>
        <v>125</v>
      </c>
      <c r="L36" s="155">
        <f t="shared" si="6"/>
        <v>16</v>
      </c>
      <c r="M36" s="155">
        <f t="shared" si="6"/>
        <v>-69</v>
      </c>
      <c r="N36" s="155">
        <f t="shared" ca="1" si="6"/>
        <v>-65.633565099421276</v>
      </c>
      <c r="O36" s="155">
        <f t="shared" ca="1" si="6"/>
        <v>-36.398697008092995</v>
      </c>
      <c r="P36" s="155">
        <f t="shared" ca="1" si="6"/>
        <v>-37.732576836823682</v>
      </c>
      <c r="Q36" s="155">
        <f t="shared" ca="1" si="6"/>
        <v>-39.12537805403008</v>
      </c>
      <c r="R36" s="155">
        <f t="shared" ca="1" si="6"/>
        <v>-40.579932191586977</v>
      </c>
      <c r="S36" s="23"/>
      <c r="T36" s="23"/>
      <c r="U36" s="23"/>
    </row>
    <row r="37" spans="2:21" x14ac:dyDescent="0.25">
      <c r="B37" s="5" t="s">
        <v>25</v>
      </c>
      <c r="C37" s="153"/>
      <c r="D37" s="155"/>
      <c r="E37" s="155"/>
      <c r="F37" s="155"/>
      <c r="G37" s="155"/>
      <c r="H37" s="155"/>
      <c r="I37" s="155"/>
      <c r="J37" s="155">
        <f>I11-J11</f>
        <v>43</v>
      </c>
      <c r="K37" s="155">
        <f t="shared" ref="K37:R37" si="7">J11-K11</f>
        <v>202</v>
      </c>
      <c r="L37" s="155">
        <f t="shared" si="7"/>
        <v>9</v>
      </c>
      <c r="M37" s="155">
        <f t="shared" si="7"/>
        <v>-50</v>
      </c>
      <c r="N37" s="155">
        <f t="shared" ca="1" si="7"/>
        <v>-150.18386321337948</v>
      </c>
      <c r="O37" s="155">
        <f t="shared" ca="1" si="7"/>
        <v>-32.290516398225236</v>
      </c>
      <c r="P37" s="155">
        <f t="shared" ca="1" si="7"/>
        <v>-33.473846352957253</v>
      </c>
      <c r="Q37" s="155">
        <f t="shared" ca="1" si="7"/>
        <v>-34.709447466196707</v>
      </c>
      <c r="R37" s="155">
        <f t="shared" ca="1" si="7"/>
        <v>-35.999831685732261</v>
      </c>
      <c r="S37" s="23"/>
      <c r="T37" s="23"/>
      <c r="U37" s="23"/>
    </row>
    <row r="38" spans="2:21" x14ac:dyDescent="0.25">
      <c r="B38" s="5" t="s">
        <v>26</v>
      </c>
      <c r="C38" s="153"/>
      <c r="D38" s="155"/>
      <c r="E38" s="155"/>
      <c r="F38" s="155"/>
      <c r="G38" s="155"/>
      <c r="H38" s="155"/>
      <c r="I38" s="155"/>
      <c r="J38" s="155">
        <f>I12-J12</f>
        <v>-41</v>
      </c>
      <c r="K38" s="155">
        <f t="shared" ref="K38:R38" si="8">J12-K12</f>
        <v>33</v>
      </c>
      <c r="L38" s="155">
        <f t="shared" si="8"/>
        <v>366</v>
      </c>
      <c r="M38" s="155">
        <f t="shared" si="8"/>
        <v>38</v>
      </c>
      <c r="N38" s="155">
        <f t="shared" si="8"/>
        <v>-71.399664103068631</v>
      </c>
      <c r="O38" s="155">
        <f t="shared" si="8"/>
        <v>-11.171813309655988</v>
      </c>
      <c r="P38" s="155">
        <f t="shared" si="8"/>
        <v>-11.581219624963921</v>
      </c>
      <c r="Q38" s="155">
        <f t="shared" si="8"/>
        <v>-12.008710619287967</v>
      </c>
      <c r="R38" s="155">
        <f t="shared" si="8"/>
        <v>-12.455155371691149</v>
      </c>
      <c r="S38" s="23"/>
      <c r="T38" s="23"/>
      <c r="U38" s="23"/>
    </row>
    <row r="39" spans="2:21" x14ac:dyDescent="0.25">
      <c r="B39" s="5" t="s">
        <v>38</v>
      </c>
      <c r="C39" s="153"/>
      <c r="D39" s="155"/>
      <c r="E39" s="155"/>
      <c r="F39" s="155"/>
      <c r="G39" s="155"/>
      <c r="H39" s="155"/>
      <c r="I39" s="155"/>
      <c r="J39" s="155">
        <f>I15-J15</f>
        <v>112</v>
      </c>
      <c r="K39" s="155">
        <f t="shared" ref="K39:R39" si="9">J15-K15</f>
        <v>121</v>
      </c>
      <c r="L39" s="155">
        <f t="shared" si="9"/>
        <v>-14</v>
      </c>
      <c r="M39" s="155">
        <f t="shared" si="9"/>
        <v>-88</v>
      </c>
      <c r="N39" s="155">
        <f t="shared" ca="1" si="9"/>
        <v>-75.026362180271235</v>
      </c>
      <c r="O39" s="155">
        <f t="shared" ca="1" si="9"/>
        <v>-7.020699280615645</v>
      </c>
      <c r="P39" s="155">
        <f t="shared" ca="1" si="9"/>
        <v>-30.943167937739418</v>
      </c>
      <c r="Q39" s="155">
        <f t="shared" ca="1" si="9"/>
        <v>-32.08700325184418</v>
      </c>
      <c r="R39" s="155">
        <f t="shared" ca="1" si="9"/>
        <v>-33.281590313078368</v>
      </c>
      <c r="S39" s="23"/>
      <c r="T39" s="23"/>
      <c r="U39" s="23"/>
    </row>
    <row r="40" spans="2:21" x14ac:dyDescent="0.25">
      <c r="B40" s="5" t="s">
        <v>39</v>
      </c>
      <c r="C40" s="153"/>
      <c r="D40" s="155"/>
      <c r="E40" s="155"/>
      <c r="F40" s="155"/>
      <c r="G40" s="155"/>
      <c r="H40" s="155"/>
      <c r="I40" s="155"/>
      <c r="J40" s="155">
        <f>I16-J16</f>
        <v>-55</v>
      </c>
      <c r="K40" s="155">
        <f t="shared" ref="K40:R40" si="10">J16-K16</f>
        <v>17</v>
      </c>
      <c r="L40" s="155">
        <f t="shared" si="10"/>
        <v>-164</v>
      </c>
      <c r="M40" s="155">
        <f t="shared" si="10"/>
        <v>87</v>
      </c>
      <c r="N40" s="155">
        <f t="shared" si="10"/>
        <v>-39.644358660739272</v>
      </c>
      <c r="O40" s="155">
        <f t="shared" si="10"/>
        <v>-9.2700767267018591</v>
      </c>
      <c r="P40" s="155">
        <f t="shared" si="10"/>
        <v>-9.6097913146658698</v>
      </c>
      <c r="Q40" s="155">
        <f t="shared" si="10"/>
        <v>-9.964512093425526</v>
      </c>
      <c r="R40" s="155">
        <f t="shared" si="10"/>
        <v>-10.334960201919557</v>
      </c>
      <c r="S40" s="23"/>
      <c r="T40" s="23"/>
      <c r="U40" s="23"/>
    </row>
    <row r="41" spans="2:21" x14ac:dyDescent="0.25">
      <c r="B41" s="5" t="s">
        <v>40</v>
      </c>
      <c r="C41" s="153"/>
      <c r="D41" s="155"/>
      <c r="E41" s="155"/>
      <c r="F41" s="155"/>
      <c r="G41" s="155"/>
      <c r="H41" s="155"/>
      <c r="I41" s="155"/>
      <c r="J41" s="155">
        <f>I17-J17</f>
        <v>63</v>
      </c>
      <c r="K41" s="155">
        <f t="shared" ref="K41:R41" si="11">J17-K17</f>
        <v>72</v>
      </c>
      <c r="L41" s="155">
        <f t="shared" si="11"/>
        <v>-1460</v>
      </c>
      <c r="M41" s="155">
        <f t="shared" si="11"/>
        <v>-103</v>
      </c>
      <c r="N41" s="155">
        <f t="shared" si="11"/>
        <v>1439.7782066963036</v>
      </c>
      <c r="O41" s="155">
        <f t="shared" si="11"/>
        <v>-46.350383633509182</v>
      </c>
      <c r="P41" s="155">
        <f t="shared" si="11"/>
        <v>-48.048956573329406</v>
      </c>
      <c r="Q41" s="155">
        <f t="shared" si="11"/>
        <v>-49.82256046712746</v>
      </c>
      <c r="R41" s="155">
        <f t="shared" si="11"/>
        <v>-51.674801009598013</v>
      </c>
      <c r="S41" s="23"/>
      <c r="T41" s="23"/>
      <c r="U41" s="23"/>
    </row>
    <row r="42" spans="2:21" ht="15.75" thickBot="1" x14ac:dyDescent="0.3">
      <c r="B42" s="158" t="s">
        <v>111</v>
      </c>
      <c r="C42" s="159"/>
      <c r="D42" s="160"/>
      <c r="E42" s="160"/>
      <c r="F42" s="160"/>
      <c r="G42" s="160"/>
      <c r="H42" s="160"/>
      <c r="I42" s="160"/>
      <c r="J42" s="160">
        <f>J36+J37+J38-(J39+J40+J41)</f>
        <v>-34</v>
      </c>
      <c r="K42" s="160">
        <f t="shared" ref="K42:R42" si="12">K36+K37+K38-(K39+K40+K41)</f>
        <v>150</v>
      </c>
      <c r="L42" s="160">
        <f t="shared" si="12"/>
        <v>2029</v>
      </c>
      <c r="M42" s="160">
        <f t="shared" si="12"/>
        <v>23</v>
      </c>
      <c r="N42" s="160">
        <f t="shared" ca="1" si="12"/>
        <v>-1612.3245782711624</v>
      </c>
      <c r="O42" s="160">
        <f t="shared" ca="1" si="12"/>
        <v>-17.219867075147533</v>
      </c>
      <c r="P42" s="160">
        <f t="shared" ca="1" si="12"/>
        <v>5.8142730109898366</v>
      </c>
      <c r="Q42" s="160">
        <f t="shared" ca="1" si="12"/>
        <v>6.0305396728824121</v>
      </c>
      <c r="R42" s="160">
        <f t="shared" ca="1" si="12"/>
        <v>6.2564322755855528</v>
      </c>
      <c r="S42" s="23"/>
      <c r="T42" s="23"/>
      <c r="U42" s="23"/>
    </row>
    <row r="43" spans="2:21" ht="15.75" thickTop="1" x14ac:dyDescent="0.25">
      <c r="B43" s="23"/>
      <c r="C43" s="153"/>
      <c r="D43" s="155"/>
      <c r="E43" s="155"/>
      <c r="F43" s="155"/>
      <c r="G43" s="155"/>
      <c r="H43" s="155"/>
      <c r="I43" s="155"/>
      <c r="J43" s="155"/>
      <c r="K43" s="155"/>
      <c r="L43" s="155"/>
      <c r="M43" s="153"/>
      <c r="N43" s="153"/>
      <c r="O43" s="23"/>
      <c r="P43" s="23"/>
      <c r="Q43" s="23"/>
      <c r="R43" s="23"/>
      <c r="S43" s="23"/>
      <c r="T43" s="23"/>
      <c r="U43" s="23"/>
    </row>
    <row r="44" spans="2:21" x14ac:dyDescent="0.25">
      <c r="B44" s="92" t="s">
        <v>112</v>
      </c>
      <c r="C44" s="153"/>
      <c r="D44" s="155"/>
      <c r="E44" s="155"/>
      <c r="F44" s="155"/>
      <c r="G44" s="155"/>
      <c r="H44" s="155"/>
      <c r="I44" s="155"/>
      <c r="J44" s="155"/>
      <c r="K44" s="155"/>
      <c r="L44" s="155"/>
      <c r="M44" s="153"/>
      <c r="N44" s="153"/>
      <c r="O44" s="23"/>
      <c r="P44" s="23"/>
      <c r="Q44" s="23"/>
      <c r="R44" s="23"/>
      <c r="S44" s="23"/>
      <c r="T44" s="23"/>
      <c r="U44" s="23"/>
    </row>
    <row r="45" spans="2:21" x14ac:dyDescent="0.25">
      <c r="C45" s="153"/>
      <c r="D45" s="153"/>
      <c r="E45" s="153"/>
      <c r="F45" s="153"/>
      <c r="G45" s="153"/>
      <c r="H45" s="153"/>
      <c r="I45" s="153"/>
      <c r="J45" s="153"/>
      <c r="K45" s="153"/>
      <c r="L45" s="153"/>
      <c r="M45" s="153"/>
      <c r="N45" s="153"/>
      <c r="O45" s="23"/>
      <c r="P45" s="23"/>
      <c r="Q45" s="23"/>
      <c r="R45" s="23"/>
      <c r="S45" s="23"/>
      <c r="T45" s="23"/>
      <c r="U45" s="23"/>
    </row>
    <row r="46" spans="2:21" x14ac:dyDescent="0.25">
      <c r="C46" s="153"/>
      <c r="D46" s="153"/>
      <c r="E46" s="153"/>
      <c r="F46" s="153"/>
      <c r="G46" s="153"/>
      <c r="H46" s="153"/>
      <c r="I46" s="153"/>
      <c r="J46" s="153"/>
      <c r="K46" s="153"/>
      <c r="L46" s="153"/>
      <c r="M46" s="153"/>
      <c r="N46" s="153"/>
      <c r="O46" s="23"/>
      <c r="P46" s="23"/>
      <c r="Q46" s="23"/>
      <c r="R46" s="23"/>
      <c r="S46" s="23"/>
      <c r="T46" s="23"/>
      <c r="U46" s="23"/>
    </row>
    <row r="47" spans="2:21" x14ac:dyDescent="0.25">
      <c r="C47" s="153"/>
      <c r="D47" s="153"/>
      <c r="E47" s="153"/>
      <c r="F47" s="153"/>
      <c r="G47" s="153"/>
      <c r="H47" s="153"/>
      <c r="I47" s="153"/>
      <c r="J47" s="153"/>
      <c r="K47" s="153"/>
      <c r="L47" s="153"/>
      <c r="M47" s="153"/>
      <c r="N47" s="153"/>
      <c r="O47" s="23"/>
      <c r="P47" s="23"/>
      <c r="Q47" s="23"/>
      <c r="R47" s="23"/>
      <c r="S47" s="23"/>
      <c r="T47" s="23"/>
      <c r="U47" s="23"/>
    </row>
    <row r="48" spans="2:21" x14ac:dyDescent="0.25">
      <c r="C48" s="153"/>
      <c r="D48" s="153"/>
      <c r="E48" s="153"/>
      <c r="F48" s="153"/>
      <c r="G48" s="153"/>
      <c r="H48" s="153"/>
      <c r="I48" s="153"/>
      <c r="J48" s="153"/>
      <c r="K48" s="153"/>
      <c r="L48" s="153"/>
      <c r="M48" s="153"/>
      <c r="N48" s="153"/>
      <c r="O48" s="23"/>
      <c r="P48" s="23"/>
      <c r="Q48" s="23"/>
      <c r="R48" s="23"/>
      <c r="S48" s="23"/>
      <c r="T48" s="23"/>
      <c r="U48" s="23"/>
    </row>
    <row r="49" spans="3:14" x14ac:dyDescent="0.25">
      <c r="C49" s="156"/>
      <c r="D49" s="156"/>
      <c r="E49" s="156"/>
      <c r="F49" s="156"/>
      <c r="G49" s="156"/>
      <c r="H49" s="156"/>
      <c r="I49" s="156"/>
      <c r="J49" s="156"/>
      <c r="K49" s="156"/>
      <c r="L49" s="156"/>
      <c r="M49" s="156"/>
      <c r="N49" s="156"/>
    </row>
    <row r="50" spans="3:14" x14ac:dyDescent="0.25">
      <c r="C50" s="156"/>
      <c r="D50" s="156"/>
      <c r="E50" s="156"/>
      <c r="F50" s="156"/>
      <c r="G50" s="156"/>
      <c r="H50" s="156"/>
      <c r="I50" s="156"/>
      <c r="J50" s="156"/>
      <c r="K50" s="156"/>
      <c r="L50" s="156"/>
      <c r="M50" s="156"/>
      <c r="N50" s="156"/>
    </row>
    <row r="51" spans="3:14" x14ac:dyDescent="0.25">
      <c r="C51" s="156"/>
      <c r="D51" s="156"/>
      <c r="E51" s="156"/>
      <c r="F51" s="156"/>
      <c r="G51" s="156"/>
      <c r="H51" s="156"/>
      <c r="I51" s="156"/>
      <c r="J51" s="156"/>
      <c r="K51" s="156"/>
      <c r="L51" s="156"/>
      <c r="M51" s="156"/>
      <c r="N51" s="156"/>
    </row>
  </sheetData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85"/>
  <sheetViews>
    <sheetView zoomScaleNormal="100" workbookViewId="0">
      <pane xSplit="2" ySplit="5" topLeftCell="I6" activePane="bottomRight" state="frozen"/>
      <selection pane="topRight" activeCell="C1" sqref="C1"/>
      <selection pane="bottomLeft" activeCell="A6" sqref="A6"/>
      <selection pane="bottomRight" activeCell="M45" sqref="M45:M46"/>
    </sheetView>
  </sheetViews>
  <sheetFormatPr defaultRowHeight="15" x14ac:dyDescent="0.25"/>
  <cols>
    <col min="1" max="1" width="2.5703125" customWidth="1"/>
    <col min="2" max="2" width="37.5703125" customWidth="1"/>
    <col min="3" max="4" width="9.5703125" hidden="1" customWidth="1"/>
    <col min="5" max="5" width="8.85546875" hidden="1" customWidth="1"/>
    <col min="6" max="8" width="10.42578125" hidden="1" customWidth="1"/>
    <col min="9" max="9" width="10.42578125" bestFit="1" customWidth="1"/>
    <col min="10" max="10" width="10.140625" customWidth="1"/>
    <col min="11" max="11" width="9.7109375" bestFit="1" customWidth="1"/>
    <col min="12" max="12" width="9.5703125" bestFit="1" customWidth="1"/>
    <col min="258" max="258" width="37.5703125" customWidth="1"/>
    <col min="259" max="260" width="9.5703125" bestFit="1" customWidth="1"/>
    <col min="261" max="261" width="13.140625" customWidth="1"/>
    <col min="262" max="267" width="9.7109375" bestFit="1" customWidth="1"/>
    <col min="268" max="268" width="9.5703125" bestFit="1" customWidth="1"/>
    <col min="514" max="514" width="37.5703125" customWidth="1"/>
    <col min="515" max="516" width="9.5703125" bestFit="1" customWidth="1"/>
    <col min="517" max="517" width="13.140625" customWidth="1"/>
    <col min="518" max="523" width="9.7109375" bestFit="1" customWidth="1"/>
    <col min="524" max="524" width="9.5703125" bestFit="1" customWidth="1"/>
    <col min="770" max="770" width="37.5703125" customWidth="1"/>
    <col min="771" max="772" width="9.5703125" bestFit="1" customWidth="1"/>
    <col min="773" max="773" width="13.140625" customWidth="1"/>
    <col min="774" max="779" width="9.7109375" bestFit="1" customWidth="1"/>
    <col min="780" max="780" width="9.5703125" bestFit="1" customWidth="1"/>
    <col min="1026" max="1026" width="37.5703125" customWidth="1"/>
    <col min="1027" max="1028" width="9.5703125" bestFit="1" customWidth="1"/>
    <col min="1029" max="1029" width="13.140625" customWidth="1"/>
    <col min="1030" max="1035" width="9.7109375" bestFit="1" customWidth="1"/>
    <col min="1036" max="1036" width="9.5703125" bestFit="1" customWidth="1"/>
    <col min="1282" max="1282" width="37.5703125" customWidth="1"/>
    <col min="1283" max="1284" width="9.5703125" bestFit="1" customWidth="1"/>
    <col min="1285" max="1285" width="13.140625" customWidth="1"/>
    <col min="1286" max="1291" width="9.7109375" bestFit="1" customWidth="1"/>
    <col min="1292" max="1292" width="9.5703125" bestFit="1" customWidth="1"/>
    <col min="1538" max="1538" width="37.5703125" customWidth="1"/>
    <col min="1539" max="1540" width="9.5703125" bestFit="1" customWidth="1"/>
    <col min="1541" max="1541" width="13.140625" customWidth="1"/>
    <col min="1542" max="1547" width="9.7109375" bestFit="1" customWidth="1"/>
    <col min="1548" max="1548" width="9.5703125" bestFit="1" customWidth="1"/>
    <col min="1794" max="1794" width="37.5703125" customWidth="1"/>
    <col min="1795" max="1796" width="9.5703125" bestFit="1" customWidth="1"/>
    <col min="1797" max="1797" width="13.140625" customWidth="1"/>
    <col min="1798" max="1803" width="9.7109375" bestFit="1" customWidth="1"/>
    <col min="1804" max="1804" width="9.5703125" bestFit="1" customWidth="1"/>
    <col min="2050" max="2050" width="37.5703125" customWidth="1"/>
    <col min="2051" max="2052" width="9.5703125" bestFit="1" customWidth="1"/>
    <col min="2053" max="2053" width="13.140625" customWidth="1"/>
    <col min="2054" max="2059" width="9.7109375" bestFit="1" customWidth="1"/>
    <col min="2060" max="2060" width="9.5703125" bestFit="1" customWidth="1"/>
    <col min="2306" max="2306" width="37.5703125" customWidth="1"/>
    <col min="2307" max="2308" width="9.5703125" bestFit="1" customWidth="1"/>
    <col min="2309" max="2309" width="13.140625" customWidth="1"/>
    <col min="2310" max="2315" width="9.7109375" bestFit="1" customWidth="1"/>
    <col min="2316" max="2316" width="9.5703125" bestFit="1" customWidth="1"/>
    <col min="2562" max="2562" width="37.5703125" customWidth="1"/>
    <col min="2563" max="2564" width="9.5703125" bestFit="1" customWidth="1"/>
    <col min="2565" max="2565" width="13.140625" customWidth="1"/>
    <col min="2566" max="2571" width="9.7109375" bestFit="1" customWidth="1"/>
    <col min="2572" max="2572" width="9.5703125" bestFit="1" customWidth="1"/>
    <col min="2818" max="2818" width="37.5703125" customWidth="1"/>
    <col min="2819" max="2820" width="9.5703125" bestFit="1" customWidth="1"/>
    <col min="2821" max="2821" width="13.140625" customWidth="1"/>
    <col min="2822" max="2827" width="9.7109375" bestFit="1" customWidth="1"/>
    <col min="2828" max="2828" width="9.5703125" bestFit="1" customWidth="1"/>
    <col min="3074" max="3074" width="37.5703125" customWidth="1"/>
    <col min="3075" max="3076" width="9.5703125" bestFit="1" customWidth="1"/>
    <col min="3077" max="3077" width="13.140625" customWidth="1"/>
    <col min="3078" max="3083" width="9.7109375" bestFit="1" customWidth="1"/>
    <col min="3084" max="3084" width="9.5703125" bestFit="1" customWidth="1"/>
    <col min="3330" max="3330" width="37.5703125" customWidth="1"/>
    <col min="3331" max="3332" width="9.5703125" bestFit="1" customWidth="1"/>
    <col min="3333" max="3333" width="13.140625" customWidth="1"/>
    <col min="3334" max="3339" width="9.7109375" bestFit="1" customWidth="1"/>
    <col min="3340" max="3340" width="9.5703125" bestFit="1" customWidth="1"/>
    <col min="3586" max="3586" width="37.5703125" customWidth="1"/>
    <col min="3587" max="3588" width="9.5703125" bestFit="1" customWidth="1"/>
    <col min="3589" max="3589" width="13.140625" customWidth="1"/>
    <col min="3590" max="3595" width="9.7109375" bestFit="1" customWidth="1"/>
    <col min="3596" max="3596" width="9.5703125" bestFit="1" customWidth="1"/>
    <col min="3842" max="3842" width="37.5703125" customWidth="1"/>
    <col min="3843" max="3844" width="9.5703125" bestFit="1" customWidth="1"/>
    <col min="3845" max="3845" width="13.140625" customWidth="1"/>
    <col min="3846" max="3851" width="9.7109375" bestFit="1" customWidth="1"/>
    <col min="3852" max="3852" width="9.5703125" bestFit="1" customWidth="1"/>
    <col min="4098" max="4098" width="37.5703125" customWidth="1"/>
    <col min="4099" max="4100" width="9.5703125" bestFit="1" customWidth="1"/>
    <col min="4101" max="4101" width="13.140625" customWidth="1"/>
    <col min="4102" max="4107" width="9.7109375" bestFit="1" customWidth="1"/>
    <col min="4108" max="4108" width="9.5703125" bestFit="1" customWidth="1"/>
    <col min="4354" max="4354" width="37.5703125" customWidth="1"/>
    <col min="4355" max="4356" width="9.5703125" bestFit="1" customWidth="1"/>
    <col min="4357" max="4357" width="13.140625" customWidth="1"/>
    <col min="4358" max="4363" width="9.7109375" bestFit="1" customWidth="1"/>
    <col min="4364" max="4364" width="9.5703125" bestFit="1" customWidth="1"/>
    <col min="4610" max="4610" width="37.5703125" customWidth="1"/>
    <col min="4611" max="4612" width="9.5703125" bestFit="1" customWidth="1"/>
    <col min="4613" max="4613" width="13.140625" customWidth="1"/>
    <col min="4614" max="4619" width="9.7109375" bestFit="1" customWidth="1"/>
    <col min="4620" max="4620" width="9.5703125" bestFit="1" customWidth="1"/>
    <col min="4866" max="4866" width="37.5703125" customWidth="1"/>
    <col min="4867" max="4868" width="9.5703125" bestFit="1" customWidth="1"/>
    <col min="4869" max="4869" width="13.140625" customWidth="1"/>
    <col min="4870" max="4875" width="9.7109375" bestFit="1" customWidth="1"/>
    <col min="4876" max="4876" width="9.5703125" bestFit="1" customWidth="1"/>
    <col min="5122" max="5122" width="37.5703125" customWidth="1"/>
    <col min="5123" max="5124" width="9.5703125" bestFit="1" customWidth="1"/>
    <col min="5125" max="5125" width="13.140625" customWidth="1"/>
    <col min="5126" max="5131" width="9.7109375" bestFit="1" customWidth="1"/>
    <col min="5132" max="5132" width="9.5703125" bestFit="1" customWidth="1"/>
    <col min="5378" max="5378" width="37.5703125" customWidth="1"/>
    <col min="5379" max="5380" width="9.5703125" bestFit="1" customWidth="1"/>
    <col min="5381" max="5381" width="13.140625" customWidth="1"/>
    <col min="5382" max="5387" width="9.7109375" bestFit="1" customWidth="1"/>
    <col min="5388" max="5388" width="9.5703125" bestFit="1" customWidth="1"/>
    <col min="5634" max="5634" width="37.5703125" customWidth="1"/>
    <col min="5635" max="5636" width="9.5703125" bestFit="1" customWidth="1"/>
    <col min="5637" max="5637" width="13.140625" customWidth="1"/>
    <col min="5638" max="5643" width="9.7109375" bestFit="1" customWidth="1"/>
    <col min="5644" max="5644" width="9.5703125" bestFit="1" customWidth="1"/>
    <col min="5890" max="5890" width="37.5703125" customWidth="1"/>
    <col min="5891" max="5892" width="9.5703125" bestFit="1" customWidth="1"/>
    <col min="5893" max="5893" width="13.140625" customWidth="1"/>
    <col min="5894" max="5899" width="9.7109375" bestFit="1" customWidth="1"/>
    <col min="5900" max="5900" width="9.5703125" bestFit="1" customWidth="1"/>
    <col min="6146" max="6146" width="37.5703125" customWidth="1"/>
    <col min="6147" max="6148" width="9.5703125" bestFit="1" customWidth="1"/>
    <col min="6149" max="6149" width="13.140625" customWidth="1"/>
    <col min="6150" max="6155" width="9.7109375" bestFit="1" customWidth="1"/>
    <col min="6156" max="6156" width="9.5703125" bestFit="1" customWidth="1"/>
    <col min="6402" max="6402" width="37.5703125" customWidth="1"/>
    <col min="6403" max="6404" width="9.5703125" bestFit="1" customWidth="1"/>
    <col min="6405" max="6405" width="13.140625" customWidth="1"/>
    <col min="6406" max="6411" width="9.7109375" bestFit="1" customWidth="1"/>
    <col min="6412" max="6412" width="9.5703125" bestFit="1" customWidth="1"/>
    <col min="6658" max="6658" width="37.5703125" customWidth="1"/>
    <col min="6659" max="6660" width="9.5703125" bestFit="1" customWidth="1"/>
    <col min="6661" max="6661" width="13.140625" customWidth="1"/>
    <col min="6662" max="6667" width="9.7109375" bestFit="1" customWidth="1"/>
    <col min="6668" max="6668" width="9.5703125" bestFit="1" customWidth="1"/>
    <col min="6914" max="6914" width="37.5703125" customWidth="1"/>
    <col min="6915" max="6916" width="9.5703125" bestFit="1" customWidth="1"/>
    <col min="6917" max="6917" width="13.140625" customWidth="1"/>
    <col min="6918" max="6923" width="9.7109375" bestFit="1" customWidth="1"/>
    <col min="6924" max="6924" width="9.5703125" bestFit="1" customWidth="1"/>
    <col min="7170" max="7170" width="37.5703125" customWidth="1"/>
    <col min="7171" max="7172" width="9.5703125" bestFit="1" customWidth="1"/>
    <col min="7173" max="7173" width="13.140625" customWidth="1"/>
    <col min="7174" max="7179" width="9.7109375" bestFit="1" customWidth="1"/>
    <col min="7180" max="7180" width="9.5703125" bestFit="1" customWidth="1"/>
    <col min="7426" max="7426" width="37.5703125" customWidth="1"/>
    <col min="7427" max="7428" width="9.5703125" bestFit="1" customWidth="1"/>
    <col min="7429" max="7429" width="13.140625" customWidth="1"/>
    <col min="7430" max="7435" width="9.7109375" bestFit="1" customWidth="1"/>
    <col min="7436" max="7436" width="9.5703125" bestFit="1" customWidth="1"/>
    <col min="7682" max="7682" width="37.5703125" customWidth="1"/>
    <col min="7683" max="7684" width="9.5703125" bestFit="1" customWidth="1"/>
    <col min="7685" max="7685" width="13.140625" customWidth="1"/>
    <col min="7686" max="7691" width="9.7109375" bestFit="1" customWidth="1"/>
    <col min="7692" max="7692" width="9.5703125" bestFit="1" customWidth="1"/>
    <col min="7938" max="7938" width="37.5703125" customWidth="1"/>
    <col min="7939" max="7940" width="9.5703125" bestFit="1" customWidth="1"/>
    <col min="7941" max="7941" width="13.140625" customWidth="1"/>
    <col min="7942" max="7947" width="9.7109375" bestFit="1" customWidth="1"/>
    <col min="7948" max="7948" width="9.5703125" bestFit="1" customWidth="1"/>
    <col min="8194" max="8194" width="37.5703125" customWidth="1"/>
    <col min="8195" max="8196" width="9.5703125" bestFit="1" customWidth="1"/>
    <col min="8197" max="8197" width="13.140625" customWidth="1"/>
    <col min="8198" max="8203" width="9.7109375" bestFit="1" customWidth="1"/>
    <col min="8204" max="8204" width="9.5703125" bestFit="1" customWidth="1"/>
    <col min="8450" max="8450" width="37.5703125" customWidth="1"/>
    <col min="8451" max="8452" width="9.5703125" bestFit="1" customWidth="1"/>
    <col min="8453" max="8453" width="13.140625" customWidth="1"/>
    <col min="8454" max="8459" width="9.7109375" bestFit="1" customWidth="1"/>
    <col min="8460" max="8460" width="9.5703125" bestFit="1" customWidth="1"/>
    <col min="8706" max="8706" width="37.5703125" customWidth="1"/>
    <col min="8707" max="8708" width="9.5703125" bestFit="1" customWidth="1"/>
    <col min="8709" max="8709" width="13.140625" customWidth="1"/>
    <col min="8710" max="8715" width="9.7109375" bestFit="1" customWidth="1"/>
    <col min="8716" max="8716" width="9.5703125" bestFit="1" customWidth="1"/>
    <col min="8962" max="8962" width="37.5703125" customWidth="1"/>
    <col min="8963" max="8964" width="9.5703125" bestFit="1" customWidth="1"/>
    <col min="8965" max="8965" width="13.140625" customWidth="1"/>
    <col min="8966" max="8971" width="9.7109375" bestFit="1" customWidth="1"/>
    <col min="8972" max="8972" width="9.5703125" bestFit="1" customWidth="1"/>
    <col min="9218" max="9218" width="37.5703125" customWidth="1"/>
    <col min="9219" max="9220" width="9.5703125" bestFit="1" customWidth="1"/>
    <col min="9221" max="9221" width="13.140625" customWidth="1"/>
    <col min="9222" max="9227" width="9.7109375" bestFit="1" customWidth="1"/>
    <col min="9228" max="9228" width="9.5703125" bestFit="1" customWidth="1"/>
    <col min="9474" max="9474" width="37.5703125" customWidth="1"/>
    <col min="9475" max="9476" width="9.5703125" bestFit="1" customWidth="1"/>
    <col min="9477" max="9477" width="13.140625" customWidth="1"/>
    <col min="9478" max="9483" width="9.7109375" bestFit="1" customWidth="1"/>
    <col min="9484" max="9484" width="9.5703125" bestFit="1" customWidth="1"/>
    <col min="9730" max="9730" width="37.5703125" customWidth="1"/>
    <col min="9731" max="9732" width="9.5703125" bestFit="1" customWidth="1"/>
    <col min="9733" max="9733" width="13.140625" customWidth="1"/>
    <col min="9734" max="9739" width="9.7109375" bestFit="1" customWidth="1"/>
    <col min="9740" max="9740" width="9.5703125" bestFit="1" customWidth="1"/>
    <col min="9986" max="9986" width="37.5703125" customWidth="1"/>
    <col min="9987" max="9988" width="9.5703125" bestFit="1" customWidth="1"/>
    <col min="9989" max="9989" width="13.140625" customWidth="1"/>
    <col min="9990" max="9995" width="9.7109375" bestFit="1" customWidth="1"/>
    <col min="9996" max="9996" width="9.5703125" bestFit="1" customWidth="1"/>
    <col min="10242" max="10242" width="37.5703125" customWidth="1"/>
    <col min="10243" max="10244" width="9.5703125" bestFit="1" customWidth="1"/>
    <col min="10245" max="10245" width="13.140625" customWidth="1"/>
    <col min="10246" max="10251" width="9.7109375" bestFit="1" customWidth="1"/>
    <col min="10252" max="10252" width="9.5703125" bestFit="1" customWidth="1"/>
    <col min="10498" max="10498" width="37.5703125" customWidth="1"/>
    <col min="10499" max="10500" width="9.5703125" bestFit="1" customWidth="1"/>
    <col min="10501" max="10501" width="13.140625" customWidth="1"/>
    <col min="10502" max="10507" width="9.7109375" bestFit="1" customWidth="1"/>
    <col min="10508" max="10508" width="9.5703125" bestFit="1" customWidth="1"/>
    <col min="10754" max="10754" width="37.5703125" customWidth="1"/>
    <col min="10755" max="10756" width="9.5703125" bestFit="1" customWidth="1"/>
    <col min="10757" max="10757" width="13.140625" customWidth="1"/>
    <col min="10758" max="10763" width="9.7109375" bestFit="1" customWidth="1"/>
    <col min="10764" max="10764" width="9.5703125" bestFit="1" customWidth="1"/>
    <col min="11010" max="11010" width="37.5703125" customWidth="1"/>
    <col min="11011" max="11012" width="9.5703125" bestFit="1" customWidth="1"/>
    <col min="11013" max="11013" width="13.140625" customWidth="1"/>
    <col min="11014" max="11019" width="9.7109375" bestFit="1" customWidth="1"/>
    <col min="11020" max="11020" width="9.5703125" bestFit="1" customWidth="1"/>
    <col min="11266" max="11266" width="37.5703125" customWidth="1"/>
    <col min="11267" max="11268" width="9.5703125" bestFit="1" customWidth="1"/>
    <col min="11269" max="11269" width="13.140625" customWidth="1"/>
    <col min="11270" max="11275" width="9.7109375" bestFit="1" customWidth="1"/>
    <col min="11276" max="11276" width="9.5703125" bestFit="1" customWidth="1"/>
    <col min="11522" max="11522" width="37.5703125" customWidth="1"/>
    <col min="11523" max="11524" width="9.5703125" bestFit="1" customWidth="1"/>
    <col min="11525" max="11525" width="13.140625" customWidth="1"/>
    <col min="11526" max="11531" width="9.7109375" bestFit="1" customWidth="1"/>
    <col min="11532" max="11532" width="9.5703125" bestFit="1" customWidth="1"/>
    <col min="11778" max="11778" width="37.5703125" customWidth="1"/>
    <col min="11779" max="11780" width="9.5703125" bestFit="1" customWidth="1"/>
    <col min="11781" max="11781" width="13.140625" customWidth="1"/>
    <col min="11782" max="11787" width="9.7109375" bestFit="1" customWidth="1"/>
    <col min="11788" max="11788" width="9.5703125" bestFit="1" customWidth="1"/>
    <col min="12034" max="12034" width="37.5703125" customWidth="1"/>
    <col min="12035" max="12036" width="9.5703125" bestFit="1" customWidth="1"/>
    <col min="12037" max="12037" width="13.140625" customWidth="1"/>
    <col min="12038" max="12043" width="9.7109375" bestFit="1" customWidth="1"/>
    <col min="12044" max="12044" width="9.5703125" bestFit="1" customWidth="1"/>
    <col min="12290" max="12290" width="37.5703125" customWidth="1"/>
    <col min="12291" max="12292" width="9.5703125" bestFit="1" customWidth="1"/>
    <col min="12293" max="12293" width="13.140625" customWidth="1"/>
    <col min="12294" max="12299" width="9.7109375" bestFit="1" customWidth="1"/>
    <col min="12300" max="12300" width="9.5703125" bestFit="1" customWidth="1"/>
    <col min="12546" max="12546" width="37.5703125" customWidth="1"/>
    <col min="12547" max="12548" width="9.5703125" bestFit="1" customWidth="1"/>
    <col min="12549" max="12549" width="13.140625" customWidth="1"/>
    <col min="12550" max="12555" width="9.7109375" bestFit="1" customWidth="1"/>
    <col min="12556" max="12556" width="9.5703125" bestFit="1" customWidth="1"/>
    <col min="12802" max="12802" width="37.5703125" customWidth="1"/>
    <col min="12803" max="12804" width="9.5703125" bestFit="1" customWidth="1"/>
    <col min="12805" max="12805" width="13.140625" customWidth="1"/>
    <col min="12806" max="12811" width="9.7109375" bestFit="1" customWidth="1"/>
    <col min="12812" max="12812" width="9.5703125" bestFit="1" customWidth="1"/>
    <col min="13058" max="13058" width="37.5703125" customWidth="1"/>
    <col min="13059" max="13060" width="9.5703125" bestFit="1" customWidth="1"/>
    <col min="13061" max="13061" width="13.140625" customWidth="1"/>
    <col min="13062" max="13067" width="9.7109375" bestFit="1" customWidth="1"/>
    <col min="13068" max="13068" width="9.5703125" bestFit="1" customWidth="1"/>
    <col min="13314" max="13314" width="37.5703125" customWidth="1"/>
    <col min="13315" max="13316" width="9.5703125" bestFit="1" customWidth="1"/>
    <col min="13317" max="13317" width="13.140625" customWidth="1"/>
    <col min="13318" max="13323" width="9.7109375" bestFit="1" customWidth="1"/>
    <col min="13324" max="13324" width="9.5703125" bestFit="1" customWidth="1"/>
    <col min="13570" max="13570" width="37.5703125" customWidth="1"/>
    <col min="13571" max="13572" width="9.5703125" bestFit="1" customWidth="1"/>
    <col min="13573" max="13573" width="13.140625" customWidth="1"/>
    <col min="13574" max="13579" width="9.7109375" bestFit="1" customWidth="1"/>
    <col min="13580" max="13580" width="9.5703125" bestFit="1" customWidth="1"/>
    <col min="13826" max="13826" width="37.5703125" customWidth="1"/>
    <col min="13827" max="13828" width="9.5703125" bestFit="1" customWidth="1"/>
    <col min="13829" max="13829" width="13.140625" customWidth="1"/>
    <col min="13830" max="13835" width="9.7109375" bestFit="1" customWidth="1"/>
    <col min="13836" max="13836" width="9.5703125" bestFit="1" customWidth="1"/>
    <col min="14082" max="14082" width="37.5703125" customWidth="1"/>
    <col min="14083" max="14084" width="9.5703125" bestFit="1" customWidth="1"/>
    <col min="14085" max="14085" width="13.140625" customWidth="1"/>
    <col min="14086" max="14091" width="9.7109375" bestFit="1" customWidth="1"/>
    <col min="14092" max="14092" width="9.5703125" bestFit="1" customWidth="1"/>
    <col min="14338" max="14338" width="37.5703125" customWidth="1"/>
    <col min="14339" max="14340" width="9.5703125" bestFit="1" customWidth="1"/>
    <col min="14341" max="14341" width="13.140625" customWidth="1"/>
    <col min="14342" max="14347" width="9.7109375" bestFit="1" customWidth="1"/>
    <col min="14348" max="14348" width="9.5703125" bestFit="1" customWidth="1"/>
    <col min="14594" max="14594" width="37.5703125" customWidth="1"/>
    <col min="14595" max="14596" width="9.5703125" bestFit="1" customWidth="1"/>
    <col min="14597" max="14597" width="13.140625" customWidth="1"/>
    <col min="14598" max="14603" width="9.7109375" bestFit="1" customWidth="1"/>
    <col min="14604" max="14604" width="9.5703125" bestFit="1" customWidth="1"/>
    <col min="14850" max="14850" width="37.5703125" customWidth="1"/>
    <col min="14851" max="14852" width="9.5703125" bestFit="1" customWidth="1"/>
    <col min="14853" max="14853" width="13.140625" customWidth="1"/>
    <col min="14854" max="14859" width="9.7109375" bestFit="1" customWidth="1"/>
    <col min="14860" max="14860" width="9.5703125" bestFit="1" customWidth="1"/>
    <col min="15106" max="15106" width="37.5703125" customWidth="1"/>
    <col min="15107" max="15108" width="9.5703125" bestFit="1" customWidth="1"/>
    <col min="15109" max="15109" width="13.140625" customWidth="1"/>
    <col min="15110" max="15115" width="9.7109375" bestFit="1" customWidth="1"/>
    <col min="15116" max="15116" width="9.5703125" bestFit="1" customWidth="1"/>
    <col min="15362" max="15362" width="37.5703125" customWidth="1"/>
    <col min="15363" max="15364" width="9.5703125" bestFit="1" customWidth="1"/>
    <col min="15365" max="15365" width="13.140625" customWidth="1"/>
    <col min="15366" max="15371" width="9.7109375" bestFit="1" customWidth="1"/>
    <col min="15372" max="15372" width="9.5703125" bestFit="1" customWidth="1"/>
    <col min="15618" max="15618" width="37.5703125" customWidth="1"/>
    <col min="15619" max="15620" width="9.5703125" bestFit="1" customWidth="1"/>
    <col min="15621" max="15621" width="13.140625" customWidth="1"/>
    <col min="15622" max="15627" width="9.7109375" bestFit="1" customWidth="1"/>
    <col min="15628" max="15628" width="9.5703125" bestFit="1" customWidth="1"/>
    <col min="15874" max="15874" width="37.5703125" customWidth="1"/>
    <col min="15875" max="15876" width="9.5703125" bestFit="1" customWidth="1"/>
    <col min="15877" max="15877" width="13.140625" customWidth="1"/>
    <col min="15878" max="15883" width="9.7109375" bestFit="1" customWidth="1"/>
    <col min="15884" max="15884" width="9.5703125" bestFit="1" customWidth="1"/>
    <col min="16130" max="16130" width="37.5703125" customWidth="1"/>
    <col min="16131" max="16132" width="9.5703125" bestFit="1" customWidth="1"/>
    <col min="16133" max="16133" width="13.140625" customWidth="1"/>
    <col min="16134" max="16139" width="9.7109375" bestFit="1" customWidth="1"/>
    <col min="16140" max="16140" width="9.5703125" bestFit="1" customWidth="1"/>
  </cols>
  <sheetData>
    <row r="1" spans="1:19" s="55" customFormat="1" ht="23.25" x14ac:dyDescent="0.35">
      <c r="A1" s="22" t="str">
        <f>IS!A1</f>
        <v>Colgate-Palmolive Company</v>
      </c>
      <c r="F1" s="57"/>
      <c r="G1" s="57"/>
      <c r="H1" s="56"/>
      <c r="M1" s="23"/>
    </row>
    <row r="2" spans="1:19" s="23" customFormat="1" ht="14.25" x14ac:dyDescent="0.2"/>
    <row r="3" spans="1:19" s="23" customFormat="1" ht="20.25" x14ac:dyDescent="0.3">
      <c r="A3" s="1" t="s">
        <v>191</v>
      </c>
      <c r="M3" s="55"/>
    </row>
    <row r="4" spans="1:19" s="23" customFormat="1" x14ac:dyDescent="0.25">
      <c r="M4"/>
    </row>
    <row r="5" spans="1:19" s="55" customFormat="1" ht="15.75" thickBot="1" x14ac:dyDescent="0.3">
      <c r="B5" s="62"/>
      <c r="C5" s="61">
        <f>BS!C5</f>
        <v>39447</v>
      </c>
      <c r="D5" s="61">
        <f>BS!D5</f>
        <v>39813</v>
      </c>
      <c r="E5" s="61">
        <f>BS!E5</f>
        <v>40178</v>
      </c>
      <c r="F5" s="61">
        <f>BS!F5</f>
        <v>40543</v>
      </c>
      <c r="G5" s="61">
        <f>BS!G5</f>
        <v>40908</v>
      </c>
      <c r="H5" s="61">
        <f>BS!H5</f>
        <v>41274</v>
      </c>
      <c r="I5" s="61">
        <f>BS!I5</f>
        <v>41639</v>
      </c>
      <c r="J5" s="61">
        <f>BS!J5</f>
        <v>42004</v>
      </c>
      <c r="K5" s="61">
        <f>BS!K5</f>
        <v>42369</v>
      </c>
      <c r="L5" s="61">
        <f>BS!L5</f>
        <v>42735</v>
      </c>
      <c r="M5" s="61">
        <f>BS!M5</f>
        <v>43100</v>
      </c>
      <c r="N5" s="335">
        <f>BS!N5</f>
        <v>43465</v>
      </c>
      <c r="O5" s="335">
        <f>BS!O5</f>
        <v>43830</v>
      </c>
      <c r="P5" s="335">
        <f>BS!P5</f>
        <v>44196</v>
      </c>
      <c r="Q5" s="335">
        <f>BS!Q5</f>
        <v>44561</v>
      </c>
      <c r="R5" s="335">
        <f>BS!R5</f>
        <v>44926</v>
      </c>
      <c r="S5" s="61"/>
    </row>
    <row r="6" spans="1:19" x14ac:dyDescent="0.25">
      <c r="B6" s="23" t="s">
        <v>98</v>
      </c>
      <c r="C6" s="125"/>
      <c r="D6" s="125"/>
      <c r="E6" s="125"/>
      <c r="F6" s="125"/>
      <c r="G6" s="125"/>
      <c r="H6" s="125"/>
      <c r="I6" s="125">
        <f>IS!I6</f>
        <v>17420</v>
      </c>
      <c r="J6" s="125">
        <f>IS!J6</f>
        <v>17277</v>
      </c>
      <c r="K6" s="125">
        <f>IS!K6</f>
        <v>16034</v>
      </c>
      <c r="L6" s="125">
        <f>IS!L6</f>
        <v>15195</v>
      </c>
      <c r="M6" s="125">
        <f>IS!M6</f>
        <v>15454</v>
      </c>
      <c r="N6" s="125">
        <f>IS!N6</f>
        <v>15813.322136768955</v>
      </c>
      <c r="O6" s="125">
        <f>IS!O6</f>
        <v>16185.715913757487</v>
      </c>
      <c r="P6" s="125">
        <f>IS!P6</f>
        <v>16571.756567922952</v>
      </c>
      <c r="Q6" s="125">
        <f>IS!Q6</f>
        <v>16972.046921899218</v>
      </c>
      <c r="R6" s="125">
        <f>IS!R6</f>
        <v>17387.218767622257</v>
      </c>
    </row>
    <row r="7" spans="1:19" x14ac:dyDescent="0.25">
      <c r="B7" s="23" t="s">
        <v>113</v>
      </c>
      <c r="C7" s="126"/>
      <c r="D7" s="126"/>
      <c r="E7" s="126"/>
      <c r="F7" s="166"/>
      <c r="G7" s="166"/>
      <c r="H7" s="166"/>
      <c r="I7" s="166">
        <f>ABS(CF!I29)</f>
        <v>670</v>
      </c>
      <c r="J7" s="166">
        <f>ABS(CF!J29)</f>
        <v>757</v>
      </c>
      <c r="K7" s="166">
        <f>ABS(CF!K29)</f>
        <v>691</v>
      </c>
      <c r="L7" s="166">
        <f>ABS(CF!L29)</f>
        <v>593</v>
      </c>
      <c r="M7" s="166">
        <f>ABS(CF!M29)</f>
        <v>553</v>
      </c>
      <c r="N7" s="166">
        <f>N6*N8</f>
        <v>632.53288547075817</v>
      </c>
      <c r="O7" s="166">
        <f>O6*O8</f>
        <v>647.42863655029953</v>
      </c>
      <c r="P7" s="166">
        <f>P6*P8</f>
        <v>662.87026271691809</v>
      </c>
      <c r="Q7" s="166">
        <f>Q6*Q8</f>
        <v>678.88187687596871</v>
      </c>
      <c r="R7" s="166">
        <f>R6*R8</f>
        <v>695.48875070489032</v>
      </c>
    </row>
    <row r="8" spans="1:19" x14ac:dyDescent="0.25">
      <c r="B8" s="92" t="s">
        <v>114</v>
      </c>
      <c r="C8" s="93"/>
      <c r="D8" s="93"/>
      <c r="E8" s="93"/>
      <c r="F8" s="255"/>
      <c r="G8" s="255"/>
      <c r="H8" s="255"/>
      <c r="I8" s="255">
        <f>ABS(I7/I6)</f>
        <v>3.8461538461538464E-2</v>
      </c>
      <c r="J8" s="255">
        <f>ABS(J7/J6)</f>
        <v>4.3815477224055099E-2</v>
      </c>
      <c r="K8" s="255">
        <f>ABS(K7/K6)</f>
        <v>4.3095921167519022E-2</v>
      </c>
      <c r="L8" s="255">
        <f>ABS(L7/L6)</f>
        <v>3.9025995393221456E-2</v>
      </c>
      <c r="M8" s="255">
        <f>ABS(M7/M6)</f>
        <v>3.5783615892325614E-2</v>
      </c>
      <c r="N8" s="255">
        <v>0.04</v>
      </c>
      <c r="O8" s="255">
        <v>0.04</v>
      </c>
      <c r="P8" s="255">
        <v>0.04</v>
      </c>
      <c r="Q8" s="255">
        <v>0.04</v>
      </c>
      <c r="R8" s="255">
        <v>0.04</v>
      </c>
    </row>
    <row r="9" spans="1:19" x14ac:dyDescent="0.25">
      <c r="B9" s="23"/>
      <c r="C9" s="23"/>
      <c r="D9" s="23"/>
      <c r="E9" s="23"/>
      <c r="F9" s="23"/>
      <c r="G9" s="23"/>
      <c r="H9" s="23"/>
      <c r="I9" s="23"/>
      <c r="J9" s="23"/>
      <c r="O9" s="23"/>
    </row>
    <row r="10" spans="1:19" x14ac:dyDescent="0.25">
      <c r="B10" s="23" t="s">
        <v>115</v>
      </c>
      <c r="C10" s="167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50">
        <f>M13</f>
        <v>4072</v>
      </c>
      <c r="O10" s="150">
        <f>N13</f>
        <v>4278.5860033349136</v>
      </c>
      <c r="P10" s="150">
        <f>O13</f>
        <v>4469.0069630984708</v>
      </c>
      <c r="Q10" s="150">
        <f>P13</f>
        <v>4643.0725579931886</v>
      </c>
      <c r="R10" s="150">
        <f>Q13</f>
        <v>4800.589501005139</v>
      </c>
    </row>
    <row r="11" spans="1:19" x14ac:dyDescent="0.25">
      <c r="B11" s="23" t="s">
        <v>113</v>
      </c>
      <c r="C11" s="167"/>
      <c r="D11" s="169"/>
      <c r="E11" s="169"/>
      <c r="F11" s="169"/>
      <c r="G11" s="169"/>
      <c r="H11" s="169"/>
      <c r="I11" s="168"/>
      <c r="J11" s="168"/>
      <c r="K11" s="168"/>
      <c r="L11" s="168"/>
      <c r="M11" s="168"/>
      <c r="N11" s="94">
        <f>N7</f>
        <v>632.53288547075817</v>
      </c>
      <c r="O11" s="94">
        <f>O7</f>
        <v>647.42863655029953</v>
      </c>
      <c r="P11" s="94">
        <f>P7</f>
        <v>662.87026271691809</v>
      </c>
      <c r="Q11" s="94">
        <f>Q7</f>
        <v>678.88187687596871</v>
      </c>
      <c r="R11" s="94">
        <f>R7</f>
        <v>695.48875070489032</v>
      </c>
    </row>
    <row r="12" spans="1:19" x14ac:dyDescent="0.25">
      <c r="B12" s="23" t="s">
        <v>116</v>
      </c>
      <c r="C12" s="167"/>
      <c r="D12" s="170"/>
      <c r="E12" s="170"/>
      <c r="F12" s="170"/>
      <c r="G12" s="170"/>
      <c r="H12" s="170"/>
      <c r="I12" s="168"/>
      <c r="J12" s="168"/>
      <c r="K12" s="168"/>
      <c r="L12" s="168"/>
      <c r="M12" s="168"/>
      <c r="N12" s="95">
        <f>-N75</f>
        <v>-425.94688213584521</v>
      </c>
      <c r="O12" s="95">
        <f>-O75</f>
        <v>-457.00767678674197</v>
      </c>
      <c r="P12" s="95">
        <f>-P75</f>
        <v>-488.80466782220032</v>
      </c>
      <c r="Q12" s="95">
        <f>-Q75</f>
        <v>-521.36493386401844</v>
      </c>
      <c r="R12" s="95">
        <f>-R75</f>
        <v>-566.51147022199063</v>
      </c>
    </row>
    <row r="13" spans="1:19" ht="15.75" thickBot="1" x14ac:dyDescent="0.3">
      <c r="B13" s="227" t="s">
        <v>117</v>
      </c>
      <c r="C13" s="258"/>
      <c r="D13" s="258"/>
      <c r="E13" s="258"/>
      <c r="F13" s="258"/>
      <c r="G13" s="258"/>
      <c r="H13" s="258"/>
      <c r="I13" s="258">
        <f>BS!I14</f>
        <v>4083</v>
      </c>
      <c r="J13" s="258">
        <f>BS!J14</f>
        <v>4080</v>
      </c>
      <c r="K13" s="258">
        <f>BS!K14</f>
        <v>3796</v>
      </c>
      <c r="L13" s="258">
        <f>BS!L14</f>
        <v>3840</v>
      </c>
      <c r="M13" s="258">
        <f>BS!M14</f>
        <v>4072</v>
      </c>
      <c r="N13" s="228">
        <f>N10+N11+N12</f>
        <v>4278.5860033349136</v>
      </c>
      <c r="O13" s="228">
        <f>O10+O11+O12</f>
        <v>4469.0069630984708</v>
      </c>
      <c r="P13" s="228">
        <f>P10+P11+P12</f>
        <v>4643.0725579931886</v>
      </c>
      <c r="Q13" s="228">
        <f>Q10+Q11+Q12</f>
        <v>4800.589501005139</v>
      </c>
      <c r="R13" s="228">
        <f>R10+R11+R12</f>
        <v>4929.5667814880389</v>
      </c>
    </row>
    <row r="14" spans="1:19" x14ac:dyDescent="0.25">
      <c r="B14" s="23"/>
      <c r="C14" s="23"/>
      <c r="D14" s="23"/>
      <c r="E14" s="23"/>
      <c r="F14" s="23"/>
      <c r="G14" s="23"/>
      <c r="H14" s="23"/>
      <c r="I14" s="23"/>
      <c r="J14" s="23"/>
      <c r="O14" s="23"/>
    </row>
    <row r="15" spans="1:19" x14ac:dyDescent="0.25">
      <c r="B15" s="23"/>
      <c r="C15" s="23"/>
      <c r="D15" s="23"/>
      <c r="E15" s="23"/>
      <c r="F15" s="23"/>
      <c r="G15" s="23"/>
      <c r="H15" s="23"/>
      <c r="I15" s="23"/>
      <c r="J15" s="23"/>
      <c r="O15" s="23"/>
    </row>
    <row r="16" spans="1:19" ht="15.75" hidden="1" thickBot="1" x14ac:dyDescent="0.3">
      <c r="B16" s="96" t="s">
        <v>291</v>
      </c>
      <c r="C16" s="257"/>
      <c r="D16" s="257"/>
      <c r="E16" s="257"/>
      <c r="F16" s="257"/>
      <c r="G16" s="257"/>
      <c r="H16" s="61"/>
      <c r="I16" s="61"/>
      <c r="J16" s="97"/>
      <c r="K16" s="97"/>
      <c r="L16" s="98"/>
      <c r="M16" s="23"/>
      <c r="N16" s="23" t="s">
        <v>292</v>
      </c>
      <c r="O16" s="97"/>
      <c r="P16" s="98" t="s">
        <v>293</v>
      </c>
      <c r="Q16" s="98"/>
      <c r="R16" s="23"/>
    </row>
    <row r="17" spans="2:21" hidden="1" x14ac:dyDescent="0.25">
      <c r="B17" s="99" t="s">
        <v>118</v>
      </c>
      <c r="H17" s="259"/>
      <c r="I17" s="100"/>
      <c r="J17" s="101"/>
      <c r="K17" s="23"/>
      <c r="L17" s="336">
        <v>147</v>
      </c>
      <c r="M17" s="336">
        <v>159</v>
      </c>
      <c r="N17" s="336"/>
      <c r="O17" s="23"/>
      <c r="P17" s="338">
        <f>M17/$M$21</f>
        <v>1.8794326241134751E-2</v>
      </c>
      <c r="Q17" s="102"/>
      <c r="R17" s="23"/>
    </row>
    <row r="18" spans="2:21" hidden="1" x14ac:dyDescent="0.25">
      <c r="B18" s="99" t="s">
        <v>119</v>
      </c>
      <c r="H18" s="259"/>
      <c r="I18" s="100"/>
      <c r="J18" s="171"/>
      <c r="K18" s="23"/>
      <c r="L18" s="23">
        <v>1544</v>
      </c>
      <c r="M18" s="23">
        <v>1655</v>
      </c>
      <c r="N18" s="23">
        <v>40</v>
      </c>
      <c r="P18" s="107">
        <f>M18/$M$21</f>
        <v>0.19562647754137116</v>
      </c>
      <c r="Q18" s="102"/>
      <c r="R18" s="23"/>
    </row>
    <row r="19" spans="2:21" hidden="1" x14ac:dyDescent="0.25">
      <c r="B19" s="99" t="s">
        <v>120</v>
      </c>
      <c r="H19" s="259"/>
      <c r="I19" s="100"/>
      <c r="J19" s="171"/>
      <c r="K19" s="23"/>
      <c r="L19" s="23">
        <v>4971</v>
      </c>
      <c r="M19" s="23">
        <v>5165</v>
      </c>
      <c r="N19" s="23">
        <v>18</v>
      </c>
      <c r="P19" s="107">
        <f>M19/$M$21</f>
        <v>0.61052009456264777</v>
      </c>
      <c r="Q19" s="102"/>
      <c r="R19" s="23"/>
    </row>
    <row r="20" spans="2:21" hidden="1" x14ac:dyDescent="0.25">
      <c r="B20" s="99" t="s">
        <v>188</v>
      </c>
      <c r="H20" s="259"/>
      <c r="I20" s="100"/>
      <c r="J20" s="171"/>
      <c r="K20" s="23"/>
      <c r="L20" s="23">
        <v>1280</v>
      </c>
      <c r="M20" s="23">
        <v>1481</v>
      </c>
      <c r="N20" s="23">
        <v>18</v>
      </c>
      <c r="P20" s="107">
        <f>M20/$M$21</f>
        <v>0.17505910165484634</v>
      </c>
      <c r="Q20" s="102"/>
      <c r="R20" s="23"/>
    </row>
    <row r="21" spans="2:21" ht="15.75" hidden="1" thickBot="1" x14ac:dyDescent="0.3">
      <c r="B21" s="103" t="s">
        <v>121</v>
      </c>
      <c r="C21" s="256"/>
      <c r="D21" s="256"/>
      <c r="E21" s="256"/>
      <c r="F21" s="256"/>
      <c r="G21" s="256"/>
      <c r="H21" s="104"/>
      <c r="I21" s="104"/>
      <c r="J21" s="105"/>
      <c r="K21" s="106"/>
      <c r="L21" s="104">
        <f>SUM(L17:L20)</f>
        <v>7942</v>
      </c>
      <c r="M21" s="104">
        <f>SUM(M17:M20)</f>
        <v>8460</v>
      </c>
      <c r="N21" s="104"/>
      <c r="O21" s="104"/>
      <c r="P21" s="104"/>
      <c r="Q21" s="107"/>
      <c r="R21" s="23"/>
    </row>
    <row r="22" spans="2:21" ht="15.75" hidden="1" thickTop="1" x14ac:dyDescent="0.25">
      <c r="B22" s="23"/>
      <c r="C22" s="23"/>
      <c r="D22" s="23"/>
      <c r="E22" s="23"/>
      <c r="F22" s="23"/>
      <c r="G22" s="23"/>
      <c r="H22" s="23"/>
      <c r="I22" s="23"/>
      <c r="J22" s="23"/>
      <c r="O22" s="23"/>
    </row>
    <row r="23" spans="2:21" hidden="1" x14ac:dyDescent="0.25">
      <c r="B23" s="108"/>
      <c r="C23" s="97"/>
      <c r="D23" s="97"/>
      <c r="E23" s="97"/>
      <c r="F23" s="109"/>
      <c r="G23" s="109"/>
      <c r="H23" s="109"/>
      <c r="I23" s="109"/>
      <c r="J23" s="109"/>
      <c r="K23" s="87"/>
      <c r="L23" s="87"/>
      <c r="O23" s="109"/>
      <c r="P23" s="87"/>
      <c r="Q23" s="87"/>
      <c r="U23" s="198"/>
    </row>
    <row r="24" spans="2:21" hidden="1" x14ac:dyDescent="0.25">
      <c r="B24" s="110" t="s">
        <v>122</v>
      </c>
      <c r="C24" s="110"/>
      <c r="D24" s="110"/>
      <c r="E24" s="110"/>
      <c r="F24" s="111"/>
      <c r="G24" s="111"/>
      <c r="H24" s="111"/>
      <c r="I24" s="111"/>
      <c r="J24" s="111"/>
      <c r="K24" s="88"/>
      <c r="L24" s="88"/>
      <c r="M24" s="337"/>
      <c r="N24" s="337"/>
      <c r="O24" s="111"/>
      <c r="P24" s="88"/>
      <c r="Q24" s="88"/>
      <c r="U24" s="86"/>
    </row>
    <row r="25" spans="2:21" ht="15.75" hidden="1" thickBot="1" x14ac:dyDescent="0.3">
      <c r="B25" s="23" t="s">
        <v>123</v>
      </c>
      <c r="C25" s="23"/>
      <c r="D25" s="23"/>
      <c r="E25" s="23"/>
      <c r="F25" s="23"/>
      <c r="G25" s="23"/>
      <c r="H25" s="23"/>
      <c r="I25" s="23"/>
      <c r="J25" s="23"/>
      <c r="O25" s="23"/>
    </row>
    <row r="26" spans="2:21" hidden="1" x14ac:dyDescent="0.25">
      <c r="B26" s="202" t="str">
        <f>B17</f>
        <v xml:space="preserve">Land </v>
      </c>
      <c r="C26" s="203"/>
      <c r="D26" s="203"/>
      <c r="E26" s="203"/>
      <c r="F26" s="204"/>
      <c r="G26" s="204"/>
      <c r="H26" s="204"/>
      <c r="I26" s="204"/>
      <c r="J26" s="204"/>
      <c r="K26" s="204"/>
      <c r="L26" s="204"/>
      <c r="M26" s="204"/>
      <c r="N26" s="339">
        <f>P17*$N$7</f>
        <v>11.888029407783753</v>
      </c>
      <c r="O26" s="339">
        <f>P17*$O$7</f>
        <v>12.167985013179388</v>
      </c>
      <c r="P26" s="339">
        <f>P17*$P$7</f>
        <v>12.45819997304846</v>
      </c>
      <c r="Q26" s="339">
        <f>P17*$Q$7</f>
        <v>12.759127473200831</v>
      </c>
      <c r="R26" s="339">
        <f>P17*$R$7</f>
        <v>13.071242477786946</v>
      </c>
    </row>
    <row r="27" spans="2:21" hidden="1" x14ac:dyDescent="0.25">
      <c r="B27" s="205" t="str">
        <f>B18</f>
        <v>Building Improvements</v>
      </c>
      <c r="C27" s="112"/>
      <c r="D27" s="112"/>
      <c r="E27" s="112"/>
      <c r="F27" s="113"/>
      <c r="G27" s="113"/>
      <c r="H27" s="113"/>
      <c r="I27" s="113"/>
      <c r="J27" s="113"/>
      <c r="K27" s="113"/>
      <c r="L27" s="113"/>
      <c r="M27" s="113"/>
      <c r="N27" s="340">
        <f>P18*$N$7</f>
        <v>123.74018031372397</v>
      </c>
      <c r="O27" s="340">
        <f>P18*$O$7</f>
        <v>126.65418362774773</v>
      </c>
      <c r="P27" s="340">
        <f>P18*$P$7</f>
        <v>129.67497456223398</v>
      </c>
      <c r="Q27" s="340">
        <f>P18*$Q$7</f>
        <v>132.8072702399206</v>
      </c>
      <c r="R27" s="340">
        <f>P18*$R$7</f>
        <v>136.05601447004651</v>
      </c>
    </row>
    <row r="28" spans="2:21" hidden="1" x14ac:dyDescent="0.25">
      <c r="B28" s="205" t="str">
        <f>B19</f>
        <v>Machinery and equipment</v>
      </c>
      <c r="C28" s="112"/>
      <c r="D28" s="112"/>
      <c r="E28" s="112"/>
      <c r="F28" s="113"/>
      <c r="G28" s="113"/>
      <c r="H28" s="113"/>
      <c r="I28" s="113"/>
      <c r="J28" s="113"/>
      <c r="K28" s="113"/>
      <c r="L28" s="113"/>
      <c r="M28" s="113"/>
      <c r="N28" s="340">
        <f>P19*$N$7</f>
        <v>386.17403705159171</v>
      </c>
      <c r="O28" s="340">
        <f>P19*$O$7</f>
        <v>395.26819240925499</v>
      </c>
      <c r="P28" s="340">
        <f>P19*$P$7</f>
        <v>404.69561547670003</v>
      </c>
      <c r="Q28" s="340">
        <f>P19*$Q$7</f>
        <v>414.47102766718422</v>
      </c>
      <c r="R28" s="340">
        <f>P19*$R$7</f>
        <v>424.60985784760743</v>
      </c>
    </row>
    <row r="29" spans="2:21" ht="15.75" hidden="1" thickBot="1" x14ac:dyDescent="0.3">
      <c r="B29" s="206" t="str">
        <f>B20</f>
        <v>Other Equipment</v>
      </c>
      <c r="C29" s="180"/>
      <c r="D29" s="180"/>
      <c r="E29" s="180"/>
      <c r="F29" s="207"/>
      <c r="G29" s="207"/>
      <c r="H29" s="207"/>
      <c r="I29" s="207"/>
      <c r="J29" s="207"/>
      <c r="K29" s="207"/>
      <c r="L29" s="207"/>
      <c r="M29" s="207"/>
      <c r="N29" s="341">
        <f>P20*$N$7</f>
        <v>110.73063869765873</v>
      </c>
      <c r="O29" s="341">
        <f>P20*$O$7</f>
        <v>113.33827550011745</v>
      </c>
      <c r="P29" s="341">
        <f>P20*$P$7</f>
        <v>116.04147270493566</v>
      </c>
      <c r="Q29" s="341">
        <f>P20*$Q$7</f>
        <v>118.84445149566308</v>
      </c>
      <c r="R29" s="341">
        <f>P20*$R$7</f>
        <v>121.75163590944948</v>
      </c>
    </row>
    <row r="30" spans="2:21" hidden="1" x14ac:dyDescent="0.25">
      <c r="B30" s="23"/>
      <c r="C30" s="23"/>
      <c r="D30" s="23"/>
      <c r="E30" s="23"/>
      <c r="F30" s="23"/>
      <c r="G30" s="23"/>
      <c r="H30" s="23"/>
      <c r="I30" s="23"/>
      <c r="J30" s="23"/>
      <c r="O30" s="23"/>
    </row>
    <row r="31" spans="2:21" x14ac:dyDescent="0.25">
      <c r="B31" s="23"/>
      <c r="C31" s="23"/>
      <c r="D31" s="23"/>
      <c r="E31" s="23"/>
      <c r="F31" s="23"/>
      <c r="G31" s="23"/>
      <c r="H31" s="23"/>
      <c r="I31" s="23"/>
      <c r="J31" s="23"/>
      <c r="O31" s="23"/>
    </row>
    <row r="32" spans="2:21" x14ac:dyDescent="0.25">
      <c r="B32" s="199" t="s">
        <v>124</v>
      </c>
      <c r="C32" s="199"/>
      <c r="D32" s="199"/>
      <c r="E32" s="199"/>
      <c r="F32" s="199"/>
      <c r="G32" s="199"/>
      <c r="H32" s="199"/>
      <c r="I32" s="199"/>
      <c r="J32" s="199"/>
      <c r="K32" s="200"/>
      <c r="L32" s="200"/>
      <c r="M32" s="201"/>
      <c r="N32" s="201"/>
      <c r="O32" s="199"/>
      <c r="P32" s="200"/>
      <c r="Q32" s="200"/>
      <c r="R32" s="201"/>
    </row>
    <row r="33" spans="2:19" hidden="1" x14ac:dyDescent="0.25">
      <c r="B33" s="99" t="s">
        <v>125</v>
      </c>
      <c r="C33" s="114"/>
      <c r="D33" s="23"/>
      <c r="E33" s="23"/>
      <c r="F33" s="23"/>
      <c r="G33" s="23"/>
      <c r="H33" s="23"/>
      <c r="I33" s="23">
        <f>N18</f>
        <v>40</v>
      </c>
      <c r="J33" s="23" t="s">
        <v>295</v>
      </c>
      <c r="O33" s="23"/>
    </row>
    <row r="34" spans="2:19" hidden="1" x14ac:dyDescent="0.25">
      <c r="B34" s="99" t="s">
        <v>126</v>
      </c>
      <c r="C34" s="114"/>
      <c r="D34" s="23"/>
      <c r="E34" s="23"/>
      <c r="F34" s="150"/>
      <c r="G34" s="23"/>
      <c r="H34" s="23"/>
      <c r="I34" s="23">
        <f>M18</f>
        <v>1655</v>
      </c>
      <c r="J34" s="54"/>
      <c r="K34" s="54"/>
      <c r="L34" s="54"/>
      <c r="M34" s="54"/>
    </row>
    <row r="35" spans="2:19" hidden="1" x14ac:dyDescent="0.25">
      <c r="B35" s="99" t="s">
        <v>127</v>
      </c>
      <c r="C35" s="114"/>
      <c r="D35" s="23"/>
      <c r="E35" s="23"/>
      <c r="F35" s="115"/>
      <c r="G35" s="115"/>
      <c r="H35" s="115"/>
      <c r="I35" s="115"/>
      <c r="J35" s="115"/>
      <c r="K35" s="115"/>
      <c r="L35" s="115"/>
      <c r="M35" s="115"/>
      <c r="N35" s="54">
        <f>$I$34/$I$33</f>
        <v>41.375</v>
      </c>
      <c r="O35" s="54">
        <f>$I$34/$I$33</f>
        <v>41.375</v>
      </c>
      <c r="P35" s="54">
        <f>$I$34/$I$33</f>
        <v>41.375</v>
      </c>
      <c r="Q35" s="54">
        <f>$I$34/$I$33</f>
        <v>41.375</v>
      </c>
      <c r="R35" s="54">
        <f>$I$34/$I$33</f>
        <v>41.375</v>
      </c>
    </row>
    <row r="36" spans="2:19" hidden="1" x14ac:dyDescent="0.25">
      <c r="B36" s="99"/>
      <c r="C36" s="114"/>
      <c r="D36" s="23"/>
      <c r="E36" s="23"/>
      <c r="F36" s="23"/>
      <c r="G36" s="23"/>
      <c r="H36" s="23"/>
      <c r="I36" s="23"/>
      <c r="J36" s="23"/>
      <c r="O36" s="23"/>
    </row>
    <row r="37" spans="2:19" hidden="1" x14ac:dyDescent="0.25">
      <c r="B37" s="23"/>
      <c r="C37" s="127"/>
      <c r="D37" s="116"/>
      <c r="E37" s="116"/>
      <c r="F37" s="23"/>
      <c r="G37" s="23"/>
      <c r="H37" s="23"/>
      <c r="I37" s="127" t="s">
        <v>294</v>
      </c>
      <c r="J37" s="116" t="s">
        <v>125</v>
      </c>
      <c r="K37" s="95"/>
      <c r="L37" s="95"/>
      <c r="M37" s="95"/>
    </row>
    <row r="38" spans="2:19" hidden="1" x14ac:dyDescent="0.25">
      <c r="B38" s="23">
        <v>2018</v>
      </c>
      <c r="C38" s="117"/>
      <c r="D38" s="114"/>
      <c r="E38" s="23"/>
      <c r="F38" s="95"/>
      <c r="G38" s="95"/>
      <c r="H38" s="95"/>
      <c r="I38" s="95">
        <f t="array" ref="I38:I42">TRANSPOSE(N27:R27)</f>
        <v>123.74018031372397</v>
      </c>
      <c r="J38" s="95">
        <v>40</v>
      </c>
      <c r="K38" s="95"/>
      <c r="L38" s="95"/>
      <c r="M38" s="95"/>
      <c r="N38" s="260">
        <f>$I$38/$J$38/2</f>
        <v>1.5467522539215497</v>
      </c>
      <c r="O38" s="95">
        <f>$I$38/$J$38</f>
        <v>3.0935045078430994</v>
      </c>
      <c r="P38" s="95">
        <f>$I$38/$J$38</f>
        <v>3.0935045078430994</v>
      </c>
      <c r="Q38" s="95">
        <f>$I$38/$J$38</f>
        <v>3.0935045078430994</v>
      </c>
      <c r="R38" s="95">
        <f>$I$38/$J$38</f>
        <v>3.0935045078430994</v>
      </c>
    </row>
    <row r="39" spans="2:19" hidden="1" x14ac:dyDescent="0.25">
      <c r="B39" s="23">
        <f>B38+1</f>
        <v>2019</v>
      </c>
      <c r="C39" s="118"/>
      <c r="D39" s="114"/>
      <c r="E39" s="23"/>
      <c r="F39" s="95"/>
      <c r="G39" s="95"/>
      <c r="H39" s="95"/>
      <c r="I39" s="95">
        <v>126.65418362774773</v>
      </c>
      <c r="J39" s="95">
        <v>40</v>
      </c>
      <c r="K39" s="95"/>
      <c r="L39" s="95"/>
      <c r="M39" s="95"/>
      <c r="N39" s="95"/>
      <c r="O39" s="260">
        <f>$I$39/$J$39/2</f>
        <v>1.5831772953468466</v>
      </c>
      <c r="P39" s="95">
        <f>$I$39/$J$39</f>
        <v>3.1663545906936932</v>
      </c>
      <c r="Q39" s="95">
        <f>$I$39/$J$39</f>
        <v>3.1663545906936932</v>
      </c>
      <c r="R39" s="95">
        <f>$I$39/$J$39</f>
        <v>3.1663545906936932</v>
      </c>
    </row>
    <row r="40" spans="2:19" hidden="1" x14ac:dyDescent="0.25">
      <c r="B40" s="23">
        <f>B39+1</f>
        <v>2020</v>
      </c>
      <c r="C40" s="119"/>
      <c r="D40" s="114"/>
      <c r="E40" s="23"/>
      <c r="F40" s="95"/>
      <c r="G40" s="95"/>
      <c r="H40" s="95"/>
      <c r="I40" s="95">
        <v>129.67497456223398</v>
      </c>
      <c r="J40" s="95">
        <v>40</v>
      </c>
      <c r="K40" s="95"/>
      <c r="L40" s="95"/>
      <c r="M40" s="95"/>
      <c r="N40" s="95"/>
      <c r="O40" s="95"/>
      <c r="P40" s="260">
        <f>$I$40/$J$40/2</f>
        <v>1.6209371820279248</v>
      </c>
      <c r="Q40" s="95">
        <f>$I$40/$J$40</f>
        <v>3.2418743640558496</v>
      </c>
      <c r="R40" s="95">
        <f>$I$40/$J$40</f>
        <v>3.2418743640558496</v>
      </c>
    </row>
    <row r="41" spans="2:19" hidden="1" x14ac:dyDescent="0.25">
      <c r="B41" s="23">
        <f>B40+1</f>
        <v>2021</v>
      </c>
      <c r="C41" s="119"/>
      <c r="D41" s="114"/>
      <c r="E41" s="23"/>
      <c r="F41" s="95"/>
      <c r="G41" s="95"/>
      <c r="H41" s="95"/>
      <c r="I41" s="95">
        <v>132.8072702399206</v>
      </c>
      <c r="J41" s="95">
        <v>40</v>
      </c>
      <c r="K41" s="95"/>
      <c r="L41" s="95"/>
      <c r="M41" s="95"/>
      <c r="N41" s="95"/>
      <c r="O41" s="84"/>
      <c r="P41" s="95"/>
      <c r="Q41" s="260">
        <f>$I$41/$J$41/2</f>
        <v>1.6600908779990076</v>
      </c>
      <c r="R41" s="95">
        <f>$I$41/$J$41</f>
        <v>3.3201817559980151</v>
      </c>
      <c r="S41" s="95"/>
    </row>
    <row r="42" spans="2:19" hidden="1" x14ac:dyDescent="0.25">
      <c r="B42" s="23">
        <f>B41+1</f>
        <v>2022</v>
      </c>
      <c r="C42" s="119"/>
      <c r="D42" s="114"/>
      <c r="E42" s="23"/>
      <c r="F42" s="95"/>
      <c r="G42" s="95"/>
      <c r="H42" s="95"/>
      <c r="I42" s="95">
        <v>136.05601447004651</v>
      </c>
      <c r="J42" s="95">
        <v>40</v>
      </c>
      <c r="K42" s="95"/>
      <c r="L42" s="95"/>
      <c r="M42" s="95"/>
      <c r="N42" s="95"/>
      <c r="O42" s="95"/>
      <c r="P42" s="84"/>
      <c r="Q42" s="84"/>
      <c r="R42" s="260">
        <f>$I$42/$J$42/2</f>
        <v>1.7007001808755813</v>
      </c>
    </row>
    <row r="43" spans="2:19" hidden="1" x14ac:dyDescent="0.25">
      <c r="B43" s="23"/>
      <c r="C43" s="23"/>
      <c r="D43" s="23"/>
      <c r="E43" s="23"/>
      <c r="F43" s="23"/>
      <c r="G43" s="23"/>
      <c r="H43" s="23"/>
      <c r="I43" s="23"/>
      <c r="J43" s="23"/>
      <c r="O43" s="23"/>
    </row>
    <row r="44" spans="2:19" ht="15.75" thickBot="1" x14ac:dyDescent="0.3">
      <c r="B44" s="120" t="s">
        <v>128</v>
      </c>
      <c r="C44" s="120"/>
      <c r="D44" s="120"/>
      <c r="E44" s="120"/>
      <c r="F44" s="121"/>
      <c r="G44" s="121"/>
      <c r="H44" s="121"/>
      <c r="I44" s="121"/>
      <c r="J44" s="121"/>
      <c r="K44" s="121"/>
      <c r="L44" s="121"/>
      <c r="M44" s="121"/>
      <c r="N44" s="121">
        <f>SUM(N38:N43)+N35</f>
        <v>42.921752253921547</v>
      </c>
      <c r="O44" s="121">
        <f>SUM(O38:O43)+O35</f>
        <v>46.051681803189943</v>
      </c>
      <c r="P44" s="121">
        <f>SUM(P38:P43)+P35</f>
        <v>49.255796280564716</v>
      </c>
      <c r="Q44" s="121">
        <f>SUM(Q38:Q43)+Q35</f>
        <v>52.53682434059165</v>
      </c>
      <c r="R44" s="121">
        <f>SUM(R38:R43)+R35</f>
        <v>55.89761539946624</v>
      </c>
    </row>
    <row r="45" spans="2:19" ht="15.75" thickTop="1" x14ac:dyDescent="0.25">
      <c r="B45" s="23"/>
      <c r="C45" s="23"/>
      <c r="D45" s="23"/>
      <c r="E45" s="23"/>
      <c r="F45" s="23"/>
      <c r="G45" s="23"/>
      <c r="H45" s="23"/>
      <c r="I45" s="23"/>
      <c r="J45" s="23"/>
      <c r="O45" s="23"/>
    </row>
    <row r="46" spans="2:19" x14ac:dyDescent="0.25">
      <c r="B46" s="199" t="s">
        <v>129</v>
      </c>
      <c r="C46" s="199"/>
      <c r="D46" s="199"/>
      <c r="E46" s="199"/>
      <c r="F46" s="199"/>
      <c r="G46" s="199"/>
      <c r="H46" s="199"/>
      <c r="I46" s="199"/>
      <c r="J46" s="199"/>
      <c r="K46" s="200"/>
      <c r="L46" s="200"/>
      <c r="M46" s="201"/>
      <c r="N46" s="201"/>
      <c r="O46" s="199"/>
      <c r="P46" s="200"/>
      <c r="Q46" s="200"/>
      <c r="R46" s="201"/>
    </row>
    <row r="47" spans="2:19" hidden="1" x14ac:dyDescent="0.25">
      <c r="B47" s="99" t="s">
        <v>125</v>
      </c>
      <c r="C47" s="114"/>
      <c r="D47" s="23"/>
      <c r="E47" s="23"/>
      <c r="F47" s="23"/>
      <c r="G47" s="23"/>
      <c r="H47" s="23"/>
      <c r="I47" s="23">
        <f>N19</f>
        <v>18</v>
      </c>
      <c r="J47" s="23" t="s">
        <v>295</v>
      </c>
      <c r="O47" s="23"/>
    </row>
    <row r="48" spans="2:19" hidden="1" x14ac:dyDescent="0.25">
      <c r="B48" s="99" t="s">
        <v>129</v>
      </c>
      <c r="C48" s="114"/>
      <c r="D48" s="23"/>
      <c r="E48" s="23"/>
      <c r="F48" s="23"/>
      <c r="G48" s="23"/>
      <c r="H48" s="23"/>
      <c r="I48" s="23">
        <f>M19</f>
        <v>5165</v>
      </c>
      <c r="J48" s="23"/>
      <c r="O48" s="23"/>
    </row>
    <row r="49" spans="2:18" hidden="1" x14ac:dyDescent="0.25">
      <c r="B49" s="99" t="s">
        <v>127</v>
      </c>
      <c r="C49" s="114"/>
      <c r="D49" s="23"/>
      <c r="E49" s="23"/>
      <c r="F49" s="115"/>
      <c r="G49" s="115"/>
      <c r="H49" s="115"/>
      <c r="I49" s="115"/>
      <c r="J49" s="115"/>
      <c r="K49" s="115"/>
      <c r="L49" s="115"/>
      <c r="M49" s="115"/>
      <c r="N49" s="115">
        <f>$I$48/$I$47</f>
        <v>286.94444444444446</v>
      </c>
      <c r="O49" s="115">
        <f>$I$48/$I$47</f>
        <v>286.94444444444446</v>
      </c>
      <c r="P49" s="115">
        <f>$I$48/$I$47</f>
        <v>286.94444444444446</v>
      </c>
      <c r="Q49" s="115">
        <f>$I$48/$I$47</f>
        <v>286.94444444444446</v>
      </c>
      <c r="R49" s="115">
        <f>$I$48/$I$47</f>
        <v>286.94444444444446</v>
      </c>
    </row>
    <row r="50" spans="2:18" hidden="1" x14ac:dyDescent="0.25">
      <c r="B50" s="23"/>
      <c r="C50" s="23"/>
      <c r="D50" s="23"/>
      <c r="E50" s="23"/>
      <c r="F50" s="23"/>
      <c r="G50" s="23"/>
      <c r="H50" s="23"/>
      <c r="I50" s="23"/>
      <c r="J50" s="23"/>
      <c r="O50" s="23"/>
    </row>
    <row r="51" spans="2:18" hidden="1" x14ac:dyDescent="0.25">
      <c r="B51" s="23"/>
      <c r="C51" s="24"/>
      <c r="D51" s="116"/>
      <c r="E51" s="116"/>
      <c r="F51" s="23"/>
      <c r="G51" s="23"/>
      <c r="H51" s="23"/>
      <c r="I51" s="127" t="s">
        <v>294</v>
      </c>
      <c r="J51" s="116" t="s">
        <v>296</v>
      </c>
      <c r="O51" s="23"/>
    </row>
    <row r="52" spans="2:18" hidden="1" x14ac:dyDescent="0.25">
      <c r="B52" s="23">
        <v>2018</v>
      </c>
      <c r="C52" s="117"/>
      <c r="D52" s="114"/>
      <c r="E52" s="23"/>
      <c r="F52" s="95"/>
      <c r="G52" s="95"/>
      <c r="H52" s="95"/>
      <c r="I52" s="95">
        <f t="array" ref="I52:I56">TRANSPOSE(N28:R28)</f>
        <v>386.17403705159171</v>
      </c>
      <c r="J52" s="95">
        <f>$I$47</f>
        <v>18</v>
      </c>
      <c r="K52" s="95"/>
      <c r="L52" s="95"/>
      <c r="M52" s="95"/>
      <c r="N52" s="260">
        <f>$I$52/$J$52/2</f>
        <v>10.727056584766437</v>
      </c>
      <c r="O52" s="95">
        <f>$I$52/$J$52</f>
        <v>21.454113169532874</v>
      </c>
      <c r="P52" s="95">
        <f>$I$52/$J$52</f>
        <v>21.454113169532874</v>
      </c>
      <c r="Q52" s="95">
        <f>$I$52/$J$52</f>
        <v>21.454113169532874</v>
      </c>
      <c r="R52" s="95">
        <f>$I$52/$J$52</f>
        <v>21.454113169532874</v>
      </c>
    </row>
    <row r="53" spans="2:18" hidden="1" x14ac:dyDescent="0.25">
      <c r="B53" s="23">
        <f>B52+1</f>
        <v>2019</v>
      </c>
      <c r="C53" s="118"/>
      <c r="D53" s="114"/>
      <c r="E53" s="23"/>
      <c r="F53" s="95"/>
      <c r="G53" s="95"/>
      <c r="H53" s="95"/>
      <c r="I53" s="95">
        <v>395.26819240925499</v>
      </c>
      <c r="J53" s="95">
        <f>$I$47</f>
        <v>18</v>
      </c>
      <c r="K53" s="95"/>
      <c r="L53" s="95"/>
      <c r="M53" s="95"/>
      <c r="N53" s="95"/>
      <c r="O53" s="260">
        <f>$I$53/$J$53/2</f>
        <v>10.979672011368194</v>
      </c>
      <c r="P53" s="95">
        <f>$I$53/$J$53</f>
        <v>21.959344022736389</v>
      </c>
      <c r="Q53" s="95">
        <f>$I$53/$J$53</f>
        <v>21.959344022736389</v>
      </c>
      <c r="R53" s="95">
        <f>$I$53/$J$53</f>
        <v>21.959344022736389</v>
      </c>
    </row>
    <row r="54" spans="2:18" hidden="1" x14ac:dyDescent="0.25">
      <c r="B54" s="23">
        <f>B53+1</f>
        <v>2020</v>
      </c>
      <c r="C54" s="119"/>
      <c r="D54" s="114"/>
      <c r="E54" s="23"/>
      <c r="F54" s="95"/>
      <c r="G54" s="95"/>
      <c r="H54" s="95"/>
      <c r="I54" s="95">
        <v>404.69561547670003</v>
      </c>
      <c r="J54" s="95">
        <f>$I$47</f>
        <v>18</v>
      </c>
      <c r="K54" s="84"/>
      <c r="L54" s="95"/>
      <c r="M54" s="95"/>
      <c r="N54" s="95"/>
      <c r="O54" s="95"/>
      <c r="P54" s="260">
        <f>$I$54/$J$54/2</f>
        <v>11.241544874352778</v>
      </c>
      <c r="Q54" s="95">
        <f>$I$54/$J$54</f>
        <v>22.483089748705556</v>
      </c>
      <c r="R54" s="95">
        <f>$I$54/$J$54</f>
        <v>22.483089748705556</v>
      </c>
    </row>
    <row r="55" spans="2:18" hidden="1" x14ac:dyDescent="0.25">
      <c r="B55" s="23">
        <f>B54+1</f>
        <v>2021</v>
      </c>
      <c r="C55" s="119"/>
      <c r="D55" s="114"/>
      <c r="E55" s="23"/>
      <c r="F55" s="95"/>
      <c r="G55" s="95"/>
      <c r="H55" s="95"/>
      <c r="I55" s="95">
        <v>414.47102766718422</v>
      </c>
      <c r="J55" s="95">
        <f>$I$47</f>
        <v>18</v>
      </c>
      <c r="K55" s="84"/>
      <c r="L55" s="84"/>
      <c r="M55" s="95"/>
      <c r="N55" s="95"/>
      <c r="O55" s="95"/>
      <c r="P55" s="95"/>
      <c r="Q55" s="260">
        <f>$I$55/$J$55/2</f>
        <v>11.513084101866228</v>
      </c>
      <c r="R55" s="95">
        <f>$I$55/$J$55</f>
        <v>23.026168203732457</v>
      </c>
    </row>
    <row r="56" spans="2:18" hidden="1" x14ac:dyDescent="0.25">
      <c r="B56" s="23">
        <f>B55+1</f>
        <v>2022</v>
      </c>
      <c r="C56" s="119"/>
      <c r="D56" s="114"/>
      <c r="E56" s="23"/>
      <c r="F56" s="95"/>
      <c r="G56" s="95"/>
      <c r="H56" s="95"/>
      <c r="I56" s="95">
        <v>424.60985784760743</v>
      </c>
      <c r="J56" s="95">
        <f>$I$47</f>
        <v>18</v>
      </c>
      <c r="K56" s="84"/>
      <c r="L56" s="84"/>
      <c r="N56" s="95"/>
      <c r="O56" s="95"/>
      <c r="P56" s="95"/>
      <c r="Q56" s="95"/>
      <c r="R56" s="260">
        <f>$I$56/$J$56</f>
        <v>23.589436547089303</v>
      </c>
    </row>
    <row r="57" spans="2:18" hidden="1" x14ac:dyDescent="0.25">
      <c r="B57" s="23"/>
      <c r="C57" s="95"/>
      <c r="D57" s="95"/>
      <c r="E57" s="95"/>
      <c r="F57" s="95"/>
      <c r="G57" s="95"/>
      <c r="H57" s="95"/>
      <c r="I57" s="95"/>
      <c r="J57" s="23"/>
      <c r="O57" s="23"/>
    </row>
    <row r="58" spans="2:18" ht="15.75" thickBot="1" x14ac:dyDescent="0.3">
      <c r="B58" s="120" t="s">
        <v>130</v>
      </c>
      <c r="C58" s="120"/>
      <c r="D58" s="120"/>
      <c r="E58" s="120"/>
      <c r="F58" s="121"/>
      <c r="G58" s="121"/>
      <c r="H58" s="121"/>
      <c r="I58" s="121"/>
      <c r="J58" s="121"/>
      <c r="K58" s="121"/>
      <c r="L58" s="121"/>
      <c r="M58" s="121"/>
      <c r="N58" s="121">
        <f>SUM(N52:N56)+N49</f>
        <v>297.6715010292109</v>
      </c>
      <c r="O58" s="121">
        <f>SUM(O52:O56)+O49</f>
        <v>319.37822962534551</v>
      </c>
      <c r="P58" s="121">
        <f>SUM(P52:P56)+P49</f>
        <v>341.5994465110665</v>
      </c>
      <c r="Q58" s="121">
        <f>SUM(Q52:Q56)+Q49</f>
        <v>364.35407548728551</v>
      </c>
      <c r="R58" s="121">
        <f>SUM(R52:R56)+R49</f>
        <v>399.45659613624105</v>
      </c>
    </row>
    <row r="59" spans="2:18" ht="15.75" thickTop="1" x14ac:dyDescent="0.25">
      <c r="B59" s="23"/>
      <c r="C59" s="95"/>
      <c r="D59" s="95"/>
      <c r="E59" s="95"/>
      <c r="F59" s="95"/>
      <c r="G59" s="95"/>
      <c r="H59" s="95"/>
      <c r="I59" s="95"/>
      <c r="J59" s="95"/>
      <c r="K59" s="84"/>
      <c r="L59" s="84"/>
      <c r="O59" s="95"/>
      <c r="P59" s="84"/>
      <c r="Q59" s="84"/>
    </row>
    <row r="60" spans="2:18" x14ac:dyDescent="0.25">
      <c r="B60" s="199" t="s">
        <v>188</v>
      </c>
      <c r="C60" s="199"/>
      <c r="D60" s="199"/>
      <c r="E60" s="199"/>
      <c r="F60" s="199"/>
      <c r="G60" s="199"/>
      <c r="H60" s="199"/>
      <c r="I60" s="199"/>
      <c r="J60" s="199"/>
      <c r="K60" s="200"/>
      <c r="L60" s="200"/>
      <c r="M60" s="201"/>
      <c r="N60" s="201"/>
      <c r="O60" s="199"/>
      <c r="P60" s="200"/>
      <c r="Q60" s="200"/>
      <c r="R60" s="201"/>
    </row>
    <row r="61" spans="2:18" hidden="1" x14ac:dyDescent="0.25">
      <c r="B61" s="99" t="s">
        <v>125</v>
      </c>
      <c r="C61" s="114"/>
      <c r="D61" s="23"/>
      <c r="E61" s="23"/>
      <c r="F61" s="23"/>
      <c r="G61" s="23"/>
      <c r="H61" s="23"/>
      <c r="I61" s="23">
        <f>N20</f>
        <v>18</v>
      </c>
      <c r="J61" s="23"/>
      <c r="O61" s="23"/>
    </row>
    <row r="62" spans="2:18" hidden="1" x14ac:dyDescent="0.25">
      <c r="B62" s="99" t="s">
        <v>188</v>
      </c>
      <c r="C62" s="114"/>
      <c r="D62" s="23"/>
      <c r="E62" s="23"/>
      <c r="F62" s="23"/>
      <c r="G62" s="23"/>
      <c r="H62" s="23"/>
      <c r="I62" s="23">
        <f>M20</f>
        <v>1481</v>
      </c>
      <c r="J62" s="23"/>
      <c r="O62" s="23"/>
    </row>
    <row r="63" spans="2:18" hidden="1" x14ac:dyDescent="0.25">
      <c r="B63" s="99" t="s">
        <v>127</v>
      </c>
      <c r="C63" s="114"/>
      <c r="D63" s="23"/>
      <c r="E63" s="23"/>
      <c r="F63" s="115"/>
      <c r="G63" s="115"/>
      <c r="H63" s="115"/>
      <c r="I63" s="115"/>
      <c r="J63" s="115"/>
      <c r="K63" s="115"/>
      <c r="L63" s="115"/>
      <c r="M63" s="115"/>
      <c r="N63" s="115">
        <f>$I$62/$I$61</f>
        <v>82.277777777777771</v>
      </c>
      <c r="O63" s="115">
        <f>$I$62/$I$61</f>
        <v>82.277777777777771</v>
      </c>
      <c r="P63" s="115">
        <f>$I$62/$I$61</f>
        <v>82.277777777777771</v>
      </c>
      <c r="Q63" s="115">
        <f>$I$62/$I$61</f>
        <v>82.277777777777771</v>
      </c>
      <c r="R63" s="115">
        <f>$I$62/$I$61</f>
        <v>82.277777777777771</v>
      </c>
    </row>
    <row r="64" spans="2:18" hidden="1" x14ac:dyDescent="0.25">
      <c r="B64" s="23"/>
      <c r="C64" s="23"/>
      <c r="D64" s="23"/>
      <c r="E64" s="23"/>
      <c r="F64" s="23"/>
      <c r="G64" s="23"/>
      <c r="H64" s="23"/>
      <c r="I64" s="23"/>
      <c r="J64" s="23"/>
      <c r="O64" s="23"/>
    </row>
    <row r="65" spans="2:18" hidden="1" x14ac:dyDescent="0.25">
      <c r="B65" s="23"/>
      <c r="C65" s="24"/>
      <c r="D65" s="116"/>
      <c r="E65" s="116"/>
      <c r="F65" s="23"/>
      <c r="G65" s="23"/>
      <c r="H65" s="23"/>
      <c r="I65" s="127" t="s">
        <v>294</v>
      </c>
      <c r="J65" s="116" t="s">
        <v>296</v>
      </c>
      <c r="O65" s="23"/>
    </row>
    <row r="66" spans="2:18" hidden="1" x14ac:dyDescent="0.25">
      <c r="B66" s="23">
        <v>2018</v>
      </c>
      <c r="C66" s="117"/>
      <c r="D66" s="114"/>
      <c r="E66" s="23"/>
      <c r="F66" s="95"/>
      <c r="G66" s="95"/>
      <c r="H66" s="95"/>
      <c r="I66" s="95">
        <f t="array" ref="I66:I70">TRANSPOSE(N29:R29)</f>
        <v>110.73063869765873</v>
      </c>
      <c r="J66" s="95">
        <f>$I$61</f>
        <v>18</v>
      </c>
      <c r="K66" s="95"/>
      <c r="L66" s="95"/>
      <c r="M66" s="95"/>
      <c r="N66" s="115">
        <f>$I$66/$J$66/2</f>
        <v>3.075851074934965</v>
      </c>
      <c r="O66" s="115">
        <f>$I$66/$J$66</f>
        <v>6.15170214986993</v>
      </c>
      <c r="P66" s="115">
        <f>$I$66/$J$66</f>
        <v>6.15170214986993</v>
      </c>
      <c r="Q66" s="115">
        <f>$I$66/$J$66</f>
        <v>6.15170214986993</v>
      </c>
      <c r="R66" s="115">
        <f>$I$66/$J$66</f>
        <v>6.15170214986993</v>
      </c>
    </row>
    <row r="67" spans="2:18" hidden="1" x14ac:dyDescent="0.25">
      <c r="B67" s="23">
        <f>B66+1</f>
        <v>2019</v>
      </c>
      <c r="C67" s="118"/>
      <c r="D67" s="114"/>
      <c r="E67" s="23"/>
      <c r="F67" s="95"/>
      <c r="G67" s="95"/>
      <c r="H67" s="95"/>
      <c r="I67" s="95">
        <v>113.33827550011745</v>
      </c>
      <c r="J67" s="95">
        <f>$I$61</f>
        <v>18</v>
      </c>
      <c r="K67" s="95"/>
      <c r="L67" s="95"/>
      <c r="M67" s="95"/>
      <c r="N67" s="115"/>
      <c r="O67" s="115">
        <f>$I$67/$J$67/2</f>
        <v>3.1482854305588179</v>
      </c>
      <c r="P67" s="115">
        <f>$I$67/$J$67</f>
        <v>6.2965708611176359</v>
      </c>
      <c r="Q67" s="115">
        <f>$I$67/$J$67</f>
        <v>6.2965708611176359</v>
      </c>
      <c r="R67" s="115">
        <f>$I$67/$J$67</f>
        <v>6.2965708611176359</v>
      </c>
    </row>
    <row r="68" spans="2:18" hidden="1" x14ac:dyDescent="0.25">
      <c r="B68" s="23">
        <f>B67+1</f>
        <v>2020</v>
      </c>
      <c r="C68" s="119"/>
      <c r="D68" s="114"/>
      <c r="E68" s="23"/>
      <c r="F68" s="95"/>
      <c r="G68" s="95"/>
      <c r="H68" s="95"/>
      <c r="I68" s="95">
        <v>116.04147270493566</v>
      </c>
      <c r="J68" s="95">
        <f>$I$61</f>
        <v>18</v>
      </c>
      <c r="K68" s="84"/>
      <c r="L68" s="95"/>
      <c r="M68" s="95"/>
      <c r="N68" s="115"/>
      <c r="O68" s="115"/>
      <c r="P68" s="115">
        <f>$I$68/$J$68/2</f>
        <v>3.2233742418037683</v>
      </c>
      <c r="Q68" s="115">
        <f>$I$68/$J$68</f>
        <v>6.4467484836075366</v>
      </c>
      <c r="R68" s="115">
        <f>$I$68/$J$68</f>
        <v>6.4467484836075366</v>
      </c>
    </row>
    <row r="69" spans="2:18" hidden="1" x14ac:dyDescent="0.25">
      <c r="B69" s="23">
        <f>B68+1</f>
        <v>2021</v>
      </c>
      <c r="C69" s="119"/>
      <c r="D69" s="114"/>
      <c r="E69" s="23"/>
      <c r="F69" s="95"/>
      <c r="G69" s="95"/>
      <c r="H69" s="95"/>
      <c r="I69" s="95">
        <v>118.84445149566308</v>
      </c>
      <c r="J69" s="95">
        <f>$I$61</f>
        <v>18</v>
      </c>
      <c r="K69" s="84"/>
      <c r="L69" s="84"/>
      <c r="M69" s="95"/>
      <c r="N69" s="115"/>
      <c r="O69" s="115"/>
      <c r="P69" s="115"/>
      <c r="Q69" s="115">
        <f>$I$69/$J$69/2</f>
        <v>3.3012347637684187</v>
      </c>
      <c r="R69" s="115">
        <f>$I$69/$J$69</f>
        <v>6.6024695275368375</v>
      </c>
    </row>
    <row r="70" spans="2:18" hidden="1" x14ac:dyDescent="0.25">
      <c r="B70" s="23">
        <f>B69+1</f>
        <v>2022</v>
      </c>
      <c r="C70" s="119"/>
      <c r="D70" s="114"/>
      <c r="E70" s="23"/>
      <c r="F70" s="95"/>
      <c r="G70" s="95"/>
      <c r="H70" s="95"/>
      <c r="I70" s="95">
        <v>121.75163590944948</v>
      </c>
      <c r="J70" s="95">
        <f>$I$61</f>
        <v>18</v>
      </c>
      <c r="K70" s="84"/>
      <c r="L70" s="84"/>
      <c r="N70" s="115"/>
      <c r="O70" s="115"/>
      <c r="P70" s="115"/>
      <c r="Q70" s="115"/>
      <c r="R70" s="115">
        <f>$I$70/$J$70/2</f>
        <v>3.3819898863735967</v>
      </c>
    </row>
    <row r="71" spans="2:18" hidden="1" x14ac:dyDescent="0.25">
      <c r="B71" s="23"/>
      <c r="C71" s="23"/>
      <c r="D71" s="23"/>
      <c r="E71" s="23"/>
      <c r="F71" s="23"/>
      <c r="G71" s="23"/>
      <c r="H71" s="23"/>
      <c r="I71" s="23"/>
      <c r="J71" s="23"/>
      <c r="O71" s="23"/>
    </row>
    <row r="72" spans="2:18" ht="15.75" thickBot="1" x14ac:dyDescent="0.3">
      <c r="B72" s="120" t="s">
        <v>209</v>
      </c>
      <c r="C72" s="120"/>
      <c r="D72" s="120"/>
      <c r="E72" s="120"/>
      <c r="F72" s="121"/>
      <c r="G72" s="121"/>
      <c r="H72" s="121"/>
      <c r="I72" s="121"/>
      <c r="J72" s="121"/>
      <c r="K72" s="121"/>
      <c r="L72" s="121"/>
      <c r="M72" s="121"/>
      <c r="N72" s="121">
        <f>SUM(N66:N70)+N63</f>
        <v>85.353628852712731</v>
      </c>
      <c r="O72" s="121">
        <f>SUM(O66:O70)+O63</f>
        <v>91.57776535820652</v>
      </c>
      <c r="P72" s="121">
        <f>SUM(P66:P70)+P63</f>
        <v>97.949425030569103</v>
      </c>
      <c r="Q72" s="121">
        <f>SUM(Q66:Q70)+Q63</f>
        <v>104.47403403614129</v>
      </c>
      <c r="R72" s="121">
        <f>SUM(R66:R70)+R63</f>
        <v>111.15725868628331</v>
      </c>
    </row>
    <row r="73" spans="2:18" ht="15.75" thickTop="1" x14ac:dyDescent="0.25">
      <c r="B73" s="23"/>
      <c r="C73" s="23"/>
      <c r="D73" s="23"/>
      <c r="E73" s="23"/>
      <c r="F73" s="23"/>
      <c r="G73" s="23"/>
      <c r="H73" s="23"/>
      <c r="I73" s="23"/>
      <c r="J73" s="23"/>
      <c r="O73" s="23"/>
    </row>
    <row r="74" spans="2:18" ht="15.75" thickBot="1" x14ac:dyDescent="0.3">
      <c r="B74" s="23"/>
      <c r="C74" s="23"/>
      <c r="D74" s="23"/>
      <c r="E74" s="23"/>
      <c r="F74" s="23"/>
      <c r="G74" s="23"/>
      <c r="H74" s="23"/>
      <c r="I74" s="23"/>
      <c r="J74" s="23"/>
      <c r="O74" s="23"/>
    </row>
    <row r="75" spans="2:18" ht="15.75" thickBot="1" x14ac:dyDescent="0.3">
      <c r="B75" s="122" t="s">
        <v>131</v>
      </c>
      <c r="C75" s="123"/>
      <c r="D75" s="123"/>
      <c r="E75" s="123"/>
      <c r="F75" s="124"/>
      <c r="G75" s="124"/>
      <c r="H75" s="124"/>
      <c r="I75" s="124"/>
      <c r="J75" s="124"/>
      <c r="K75" s="124"/>
      <c r="L75" s="124"/>
      <c r="M75" s="124"/>
      <c r="N75" s="124">
        <f>N44+N58+N72</f>
        <v>425.94688213584521</v>
      </c>
      <c r="O75" s="124">
        <f>O44+O58+O72</f>
        <v>457.00767678674197</v>
      </c>
      <c r="P75" s="124">
        <f>P44+P58+P72</f>
        <v>488.80466782220032</v>
      </c>
      <c r="Q75" s="124">
        <f>Q44+Q58+Q72</f>
        <v>521.36493386401844</v>
      </c>
      <c r="R75" s="124">
        <f>R44+R58+R72</f>
        <v>566.51147022199063</v>
      </c>
    </row>
    <row r="82" spans="5:5" x14ac:dyDescent="0.25">
      <c r="E82" s="84"/>
    </row>
    <row r="83" spans="5:5" x14ac:dyDescent="0.25">
      <c r="E83" s="84"/>
    </row>
    <row r="84" spans="5:5" x14ac:dyDescent="0.25">
      <c r="E84" s="84"/>
    </row>
    <row r="85" spans="5:5" x14ac:dyDescent="0.25">
      <c r="E85" s="84"/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6"/>
  <sheetViews>
    <sheetView zoomScaleNormal="100" workbookViewId="0">
      <selection activeCell="N10" sqref="N10"/>
    </sheetView>
  </sheetViews>
  <sheetFormatPr defaultRowHeight="15" x14ac:dyDescent="0.25"/>
  <cols>
    <col min="1" max="1" width="2.28515625" customWidth="1"/>
    <col min="2" max="2" width="37.5703125" customWidth="1"/>
    <col min="3" max="3" width="9.7109375" hidden="1" customWidth="1"/>
    <col min="4" max="8" width="0" hidden="1" customWidth="1"/>
    <col min="9" max="10" width="9.42578125" bestFit="1" customWidth="1"/>
    <col min="258" max="258" width="37.5703125" customWidth="1"/>
    <col min="514" max="514" width="37.5703125" customWidth="1"/>
    <col min="770" max="770" width="37.5703125" customWidth="1"/>
    <col min="1026" max="1026" width="37.5703125" customWidth="1"/>
    <col min="1282" max="1282" width="37.5703125" customWidth="1"/>
    <col min="1538" max="1538" width="37.5703125" customWidth="1"/>
    <col min="1794" max="1794" width="37.5703125" customWidth="1"/>
    <col min="2050" max="2050" width="37.5703125" customWidth="1"/>
    <col min="2306" max="2306" width="37.5703125" customWidth="1"/>
    <col min="2562" max="2562" width="37.5703125" customWidth="1"/>
    <col min="2818" max="2818" width="37.5703125" customWidth="1"/>
    <col min="3074" max="3074" width="37.5703125" customWidth="1"/>
    <col min="3330" max="3330" width="37.5703125" customWidth="1"/>
    <col min="3586" max="3586" width="37.5703125" customWidth="1"/>
    <col min="3842" max="3842" width="37.5703125" customWidth="1"/>
    <col min="4098" max="4098" width="37.5703125" customWidth="1"/>
    <col min="4354" max="4354" width="37.5703125" customWidth="1"/>
    <col min="4610" max="4610" width="37.5703125" customWidth="1"/>
    <col min="4866" max="4866" width="37.5703125" customWidth="1"/>
    <col min="5122" max="5122" width="37.5703125" customWidth="1"/>
    <col min="5378" max="5378" width="37.5703125" customWidth="1"/>
    <col min="5634" max="5634" width="37.5703125" customWidth="1"/>
    <col min="5890" max="5890" width="37.5703125" customWidth="1"/>
    <col min="6146" max="6146" width="37.5703125" customWidth="1"/>
    <col min="6402" max="6402" width="37.5703125" customWidth="1"/>
    <col min="6658" max="6658" width="37.5703125" customWidth="1"/>
    <col min="6914" max="6914" width="37.5703125" customWidth="1"/>
    <col min="7170" max="7170" width="37.5703125" customWidth="1"/>
    <col min="7426" max="7426" width="37.5703125" customWidth="1"/>
    <col min="7682" max="7682" width="37.5703125" customWidth="1"/>
    <col min="7938" max="7938" width="37.5703125" customWidth="1"/>
    <col min="8194" max="8194" width="37.5703125" customWidth="1"/>
    <col min="8450" max="8450" width="37.5703125" customWidth="1"/>
    <col min="8706" max="8706" width="37.5703125" customWidth="1"/>
    <col min="8962" max="8962" width="37.5703125" customWidth="1"/>
    <col min="9218" max="9218" width="37.5703125" customWidth="1"/>
    <col min="9474" max="9474" width="37.5703125" customWidth="1"/>
    <col min="9730" max="9730" width="37.5703125" customWidth="1"/>
    <col min="9986" max="9986" width="37.5703125" customWidth="1"/>
    <col min="10242" max="10242" width="37.5703125" customWidth="1"/>
    <col min="10498" max="10498" width="37.5703125" customWidth="1"/>
    <col min="10754" max="10754" width="37.5703125" customWidth="1"/>
    <col min="11010" max="11010" width="37.5703125" customWidth="1"/>
    <col min="11266" max="11266" width="37.5703125" customWidth="1"/>
    <col min="11522" max="11522" width="37.5703125" customWidth="1"/>
    <col min="11778" max="11778" width="37.5703125" customWidth="1"/>
    <col min="12034" max="12034" width="37.5703125" customWidth="1"/>
    <col min="12290" max="12290" width="37.5703125" customWidth="1"/>
    <col min="12546" max="12546" width="37.5703125" customWidth="1"/>
    <col min="12802" max="12802" width="37.5703125" customWidth="1"/>
    <col min="13058" max="13058" width="37.5703125" customWidth="1"/>
    <col min="13314" max="13314" width="37.5703125" customWidth="1"/>
    <col min="13570" max="13570" width="37.5703125" customWidth="1"/>
    <col min="13826" max="13826" width="37.5703125" customWidth="1"/>
    <col min="14082" max="14082" width="37.5703125" customWidth="1"/>
    <col min="14338" max="14338" width="37.5703125" customWidth="1"/>
    <col min="14594" max="14594" width="37.5703125" customWidth="1"/>
    <col min="14850" max="14850" width="37.5703125" customWidth="1"/>
    <col min="15106" max="15106" width="37.5703125" customWidth="1"/>
    <col min="15362" max="15362" width="37.5703125" customWidth="1"/>
    <col min="15618" max="15618" width="37.5703125" customWidth="1"/>
    <col min="15874" max="15874" width="37.5703125" customWidth="1"/>
    <col min="16130" max="16130" width="37.5703125" customWidth="1"/>
  </cols>
  <sheetData>
    <row r="1" spans="1:18" s="55" customFormat="1" ht="23.25" x14ac:dyDescent="0.35">
      <c r="A1" s="22" t="str">
        <f>IS!A1</f>
        <v>Colgate-Palmolive Company</v>
      </c>
      <c r="F1" s="57"/>
      <c r="G1" s="57"/>
      <c r="H1" s="56"/>
    </row>
    <row r="2" spans="1:18" s="23" customFormat="1" ht="14.25" x14ac:dyDescent="0.2"/>
    <row r="3" spans="1:18" s="23" customFormat="1" ht="20.25" x14ac:dyDescent="0.3">
      <c r="A3" s="1" t="s">
        <v>192</v>
      </c>
    </row>
    <row r="4" spans="1:18" s="23" customFormat="1" ht="14.25" x14ac:dyDescent="0.2"/>
    <row r="5" spans="1:18" s="55" customFormat="1" ht="15.75" thickBot="1" x14ac:dyDescent="0.3">
      <c r="B5" s="62"/>
      <c r="C5" s="61">
        <f>BS!C5</f>
        <v>39447</v>
      </c>
      <c r="D5" s="61">
        <f>BS!D5</f>
        <v>39813</v>
      </c>
      <c r="E5" s="61">
        <f>BS!E5</f>
        <v>40178</v>
      </c>
      <c r="F5" s="61">
        <f>BS!F5</f>
        <v>40543</v>
      </c>
      <c r="G5" s="61">
        <f>BS!G5</f>
        <v>40908</v>
      </c>
      <c r="H5" s="61">
        <f>BS!H5</f>
        <v>41274</v>
      </c>
      <c r="I5" s="61">
        <f>BS!I5</f>
        <v>41639</v>
      </c>
      <c r="J5" s="61">
        <f>BS!J5</f>
        <v>42004</v>
      </c>
      <c r="K5" s="61">
        <f>BS!K5</f>
        <v>42369</v>
      </c>
      <c r="L5" s="61">
        <f>BS!L5</f>
        <v>42735</v>
      </c>
      <c r="M5" s="61">
        <f>BS!M5</f>
        <v>43100</v>
      </c>
      <c r="N5" s="335">
        <f>BS!N5</f>
        <v>43465</v>
      </c>
      <c r="O5" s="335">
        <f>BS!O5</f>
        <v>43830</v>
      </c>
      <c r="P5" s="335">
        <f>BS!P5</f>
        <v>44196</v>
      </c>
      <c r="Q5" s="335">
        <f>BS!Q5</f>
        <v>44561</v>
      </c>
      <c r="R5" s="335">
        <f>BS!R5</f>
        <v>44926</v>
      </c>
    </row>
    <row r="6" spans="1:18" x14ac:dyDescent="0.25">
      <c r="B6" s="23" t="s">
        <v>98</v>
      </c>
      <c r="C6" s="125"/>
      <c r="D6" s="125"/>
      <c r="E6" s="125"/>
      <c r="F6" s="125"/>
      <c r="G6" s="125"/>
      <c r="H6" s="125"/>
      <c r="I6" s="125">
        <f>IS!I6</f>
        <v>17420</v>
      </c>
      <c r="J6" s="125">
        <f>IS!J6</f>
        <v>17277</v>
      </c>
      <c r="K6" s="125">
        <f>IS!K6</f>
        <v>16034</v>
      </c>
      <c r="L6" s="125">
        <f>IS!L6</f>
        <v>15195</v>
      </c>
      <c r="M6" s="125">
        <f>IS!M6</f>
        <v>15454</v>
      </c>
      <c r="N6" s="125">
        <f>IS!N6</f>
        <v>15813.322136768955</v>
      </c>
      <c r="O6" s="125">
        <f>IS!O6</f>
        <v>16185.715913757487</v>
      </c>
      <c r="P6" s="125">
        <f>IS!P6</f>
        <v>16571.756567922952</v>
      </c>
      <c r="Q6" s="125">
        <f>IS!Q6</f>
        <v>16972.046921899218</v>
      </c>
      <c r="R6" s="125">
        <f>IS!R6</f>
        <v>17387.218767622257</v>
      </c>
    </row>
    <row r="7" spans="1:18" x14ac:dyDescent="0.25">
      <c r="B7" s="23" t="s">
        <v>132</v>
      </c>
      <c r="C7" s="135"/>
      <c r="D7" s="136"/>
      <c r="E7" s="136"/>
      <c r="F7" s="128"/>
      <c r="G7" s="128"/>
      <c r="H7" s="128"/>
      <c r="I7" s="128"/>
      <c r="J7" s="128"/>
      <c r="K7" s="89"/>
      <c r="L7" s="89"/>
    </row>
    <row r="8" spans="1:18" x14ac:dyDescent="0.25">
      <c r="B8" s="92" t="s">
        <v>133</v>
      </c>
      <c r="C8" s="93"/>
      <c r="D8" s="93"/>
      <c r="E8" s="93"/>
      <c r="F8" s="129"/>
      <c r="G8" s="93"/>
      <c r="H8" s="93"/>
      <c r="I8" s="93"/>
      <c r="J8" s="93"/>
      <c r="K8" s="85"/>
      <c r="L8" s="85"/>
    </row>
    <row r="9" spans="1:18" x14ac:dyDescent="0.25">
      <c r="B9" s="23"/>
      <c r="C9" s="23"/>
      <c r="D9" s="23"/>
      <c r="E9" s="23"/>
      <c r="F9" s="23"/>
      <c r="G9" s="23"/>
      <c r="H9" s="23"/>
      <c r="I9" s="23"/>
      <c r="J9" s="23"/>
    </row>
    <row r="10" spans="1:18" x14ac:dyDescent="0.25">
      <c r="B10" s="23" t="s">
        <v>134</v>
      </c>
      <c r="C10" s="130"/>
      <c r="D10" s="130"/>
      <c r="E10" s="130"/>
      <c r="F10" s="130"/>
      <c r="G10" s="130"/>
      <c r="H10" s="130"/>
      <c r="I10" s="130"/>
      <c r="J10" s="130"/>
      <c r="K10" s="130"/>
      <c r="L10" s="130"/>
      <c r="M10" s="130"/>
      <c r="N10" s="131">
        <f>M14</f>
        <v>1341</v>
      </c>
      <c r="O10" s="131">
        <f>N14</f>
        <v>1306</v>
      </c>
      <c r="P10" s="131">
        <f>O14</f>
        <v>1271</v>
      </c>
      <c r="Q10" s="131">
        <f>P14</f>
        <v>1236</v>
      </c>
      <c r="R10" s="131">
        <f>Q14</f>
        <v>1201</v>
      </c>
    </row>
    <row r="11" spans="1:18" x14ac:dyDescent="0.25">
      <c r="B11" s="23" t="s">
        <v>132</v>
      </c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1"/>
    </row>
    <row r="12" spans="1:18" x14ac:dyDescent="0.25">
      <c r="B12" s="23" t="s">
        <v>135</v>
      </c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208">
        <v>-35</v>
      </c>
      <c r="O12" s="208">
        <v>-35</v>
      </c>
      <c r="P12" s="208">
        <v>-35</v>
      </c>
      <c r="Q12" s="208">
        <v>-35</v>
      </c>
      <c r="R12" s="208">
        <v>-35</v>
      </c>
    </row>
    <row r="13" spans="1:18" x14ac:dyDescent="0.25">
      <c r="B13" s="23" t="s">
        <v>136</v>
      </c>
      <c r="C13" s="130"/>
      <c r="D13" s="130"/>
      <c r="E13" s="130"/>
      <c r="F13" s="130"/>
      <c r="G13" s="130"/>
      <c r="H13" s="130"/>
      <c r="I13" s="130"/>
      <c r="J13" s="130"/>
      <c r="K13" s="130"/>
      <c r="L13" s="130"/>
      <c r="M13" s="130"/>
      <c r="N13" s="132"/>
    </row>
    <row r="14" spans="1:18" x14ac:dyDescent="0.25">
      <c r="B14" s="23" t="s">
        <v>137</v>
      </c>
      <c r="C14" s="133"/>
      <c r="D14" s="134"/>
      <c r="E14" s="134"/>
      <c r="F14" s="134"/>
      <c r="G14" s="134"/>
      <c r="H14" s="134"/>
      <c r="I14" s="134"/>
      <c r="J14" s="134"/>
      <c r="K14" s="134"/>
      <c r="L14" s="134"/>
      <c r="M14" s="134">
        <v>1341</v>
      </c>
      <c r="N14" s="134">
        <f>SUM(N10:N13)</f>
        <v>1306</v>
      </c>
      <c r="O14" s="134">
        <f>SUM(O10:O13)</f>
        <v>1271</v>
      </c>
      <c r="P14" s="134">
        <f>SUM(P10:P13)</f>
        <v>1236</v>
      </c>
      <c r="Q14" s="134">
        <f>SUM(Q10:Q13)</f>
        <v>1201</v>
      </c>
      <c r="R14" s="134">
        <f>SUM(R10:R13)</f>
        <v>1166</v>
      </c>
    </row>
    <row r="15" spans="1:18" x14ac:dyDescent="0.25">
      <c r="B15" s="23"/>
      <c r="C15" s="23"/>
      <c r="D15" s="23"/>
      <c r="E15" s="23"/>
      <c r="F15" s="23"/>
      <c r="G15" s="23"/>
      <c r="H15" s="23"/>
      <c r="I15" s="23"/>
      <c r="J15" s="23"/>
    </row>
    <row r="16" spans="1:18" x14ac:dyDescent="0.25">
      <c r="B16" s="23"/>
      <c r="C16" s="93"/>
      <c r="D16" s="93"/>
      <c r="E16" s="93"/>
      <c r="F16" s="93"/>
      <c r="G16" s="93"/>
      <c r="H16" s="93"/>
      <c r="I16" s="93"/>
      <c r="J16" s="93"/>
      <c r="K16" s="85"/>
      <c r="L16" s="85"/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2"/>
  <sheetViews>
    <sheetView zoomScaleNormal="100" workbookViewId="0">
      <selection activeCell="Q15" sqref="Q15"/>
    </sheetView>
  </sheetViews>
  <sheetFormatPr defaultRowHeight="15" x14ac:dyDescent="0.25"/>
  <cols>
    <col min="1" max="1" width="3" style="90" customWidth="1"/>
    <col min="2" max="2" width="41.28515625" style="90" customWidth="1"/>
    <col min="3" max="8" width="10.140625" style="90" hidden="1" customWidth="1"/>
    <col min="9" max="9" width="10.140625" style="90" bestFit="1" customWidth="1"/>
    <col min="10" max="10" width="10" style="90" bestFit="1" customWidth="1"/>
    <col min="11" max="257" width="9.140625" style="90"/>
    <col min="258" max="258" width="37.5703125" style="90" customWidth="1"/>
    <col min="259" max="513" width="9.140625" style="90"/>
    <col min="514" max="514" width="37.5703125" style="90" customWidth="1"/>
    <col min="515" max="769" width="9.140625" style="90"/>
    <col min="770" max="770" width="37.5703125" style="90" customWidth="1"/>
    <col min="771" max="1025" width="9.140625" style="90"/>
    <col min="1026" max="1026" width="37.5703125" style="90" customWidth="1"/>
    <col min="1027" max="1281" width="9.140625" style="90"/>
    <col min="1282" max="1282" width="37.5703125" style="90" customWidth="1"/>
    <col min="1283" max="1537" width="9.140625" style="90"/>
    <col min="1538" max="1538" width="37.5703125" style="90" customWidth="1"/>
    <col min="1539" max="1793" width="9.140625" style="90"/>
    <col min="1794" max="1794" width="37.5703125" style="90" customWidth="1"/>
    <col min="1795" max="2049" width="9.140625" style="90"/>
    <col min="2050" max="2050" width="37.5703125" style="90" customWidth="1"/>
    <col min="2051" max="2305" width="9.140625" style="90"/>
    <col min="2306" max="2306" width="37.5703125" style="90" customWidth="1"/>
    <col min="2307" max="2561" width="9.140625" style="90"/>
    <col min="2562" max="2562" width="37.5703125" style="90" customWidth="1"/>
    <col min="2563" max="2817" width="9.140625" style="90"/>
    <col min="2818" max="2818" width="37.5703125" style="90" customWidth="1"/>
    <col min="2819" max="3073" width="9.140625" style="90"/>
    <col min="3074" max="3074" width="37.5703125" style="90" customWidth="1"/>
    <col min="3075" max="3329" width="9.140625" style="90"/>
    <col min="3330" max="3330" width="37.5703125" style="90" customWidth="1"/>
    <col min="3331" max="3585" width="9.140625" style="90"/>
    <col min="3586" max="3586" width="37.5703125" style="90" customWidth="1"/>
    <col min="3587" max="3841" width="9.140625" style="90"/>
    <col min="3842" max="3842" width="37.5703125" style="90" customWidth="1"/>
    <col min="3843" max="4097" width="9.140625" style="90"/>
    <col min="4098" max="4098" width="37.5703125" style="90" customWidth="1"/>
    <col min="4099" max="4353" width="9.140625" style="90"/>
    <col min="4354" max="4354" width="37.5703125" style="90" customWidth="1"/>
    <col min="4355" max="4609" width="9.140625" style="90"/>
    <col min="4610" max="4610" width="37.5703125" style="90" customWidth="1"/>
    <col min="4611" max="4865" width="9.140625" style="90"/>
    <col min="4866" max="4866" width="37.5703125" style="90" customWidth="1"/>
    <col min="4867" max="5121" width="9.140625" style="90"/>
    <col min="5122" max="5122" width="37.5703125" style="90" customWidth="1"/>
    <col min="5123" max="5377" width="9.140625" style="90"/>
    <col min="5378" max="5378" width="37.5703125" style="90" customWidth="1"/>
    <col min="5379" max="5633" width="9.140625" style="90"/>
    <col min="5634" max="5634" width="37.5703125" style="90" customWidth="1"/>
    <col min="5635" max="5889" width="9.140625" style="90"/>
    <col min="5890" max="5890" width="37.5703125" style="90" customWidth="1"/>
    <col min="5891" max="6145" width="9.140625" style="90"/>
    <col min="6146" max="6146" width="37.5703125" style="90" customWidth="1"/>
    <col min="6147" max="6401" width="9.140625" style="90"/>
    <col min="6402" max="6402" width="37.5703125" style="90" customWidth="1"/>
    <col min="6403" max="6657" width="9.140625" style="90"/>
    <col min="6658" max="6658" width="37.5703125" style="90" customWidth="1"/>
    <col min="6659" max="6913" width="9.140625" style="90"/>
    <col min="6914" max="6914" width="37.5703125" style="90" customWidth="1"/>
    <col min="6915" max="7169" width="9.140625" style="90"/>
    <col min="7170" max="7170" width="37.5703125" style="90" customWidth="1"/>
    <col min="7171" max="7425" width="9.140625" style="90"/>
    <col min="7426" max="7426" width="37.5703125" style="90" customWidth="1"/>
    <col min="7427" max="7681" width="9.140625" style="90"/>
    <col min="7682" max="7682" width="37.5703125" style="90" customWidth="1"/>
    <col min="7683" max="7937" width="9.140625" style="90"/>
    <col min="7938" max="7938" width="37.5703125" style="90" customWidth="1"/>
    <col min="7939" max="8193" width="9.140625" style="90"/>
    <col min="8194" max="8194" width="37.5703125" style="90" customWidth="1"/>
    <col min="8195" max="8449" width="9.140625" style="90"/>
    <col min="8450" max="8450" width="37.5703125" style="90" customWidth="1"/>
    <col min="8451" max="8705" width="9.140625" style="90"/>
    <col min="8706" max="8706" width="37.5703125" style="90" customWidth="1"/>
    <col min="8707" max="8961" width="9.140625" style="90"/>
    <col min="8962" max="8962" width="37.5703125" style="90" customWidth="1"/>
    <col min="8963" max="9217" width="9.140625" style="90"/>
    <col min="9218" max="9218" width="37.5703125" style="90" customWidth="1"/>
    <col min="9219" max="9473" width="9.140625" style="90"/>
    <col min="9474" max="9474" width="37.5703125" style="90" customWidth="1"/>
    <col min="9475" max="9729" width="9.140625" style="90"/>
    <col min="9730" max="9730" width="37.5703125" style="90" customWidth="1"/>
    <col min="9731" max="9985" width="9.140625" style="90"/>
    <col min="9986" max="9986" width="37.5703125" style="90" customWidth="1"/>
    <col min="9987" max="10241" width="9.140625" style="90"/>
    <col min="10242" max="10242" width="37.5703125" style="90" customWidth="1"/>
    <col min="10243" max="10497" width="9.140625" style="90"/>
    <col min="10498" max="10498" width="37.5703125" style="90" customWidth="1"/>
    <col min="10499" max="10753" width="9.140625" style="90"/>
    <col min="10754" max="10754" width="37.5703125" style="90" customWidth="1"/>
    <col min="10755" max="11009" width="9.140625" style="90"/>
    <col min="11010" max="11010" width="37.5703125" style="90" customWidth="1"/>
    <col min="11011" max="11265" width="9.140625" style="90"/>
    <col min="11266" max="11266" width="37.5703125" style="90" customWidth="1"/>
    <col min="11267" max="11521" width="9.140625" style="90"/>
    <col min="11522" max="11522" width="37.5703125" style="90" customWidth="1"/>
    <col min="11523" max="11777" width="9.140625" style="90"/>
    <col min="11778" max="11778" width="37.5703125" style="90" customWidth="1"/>
    <col min="11779" max="12033" width="9.140625" style="90"/>
    <col min="12034" max="12034" width="37.5703125" style="90" customWidth="1"/>
    <col min="12035" max="12289" width="9.140625" style="90"/>
    <col min="12290" max="12290" width="37.5703125" style="90" customWidth="1"/>
    <col min="12291" max="12545" width="9.140625" style="90"/>
    <col min="12546" max="12546" width="37.5703125" style="90" customWidth="1"/>
    <col min="12547" max="12801" width="9.140625" style="90"/>
    <col min="12802" max="12802" width="37.5703125" style="90" customWidth="1"/>
    <col min="12803" max="13057" width="9.140625" style="90"/>
    <col min="13058" max="13058" width="37.5703125" style="90" customWidth="1"/>
    <col min="13059" max="13313" width="9.140625" style="90"/>
    <col min="13314" max="13314" width="37.5703125" style="90" customWidth="1"/>
    <col min="13315" max="13569" width="9.140625" style="90"/>
    <col min="13570" max="13570" width="37.5703125" style="90" customWidth="1"/>
    <col min="13571" max="13825" width="9.140625" style="90"/>
    <col min="13826" max="13826" width="37.5703125" style="90" customWidth="1"/>
    <col min="13827" max="14081" width="9.140625" style="90"/>
    <col min="14082" max="14082" width="37.5703125" style="90" customWidth="1"/>
    <col min="14083" max="14337" width="9.140625" style="90"/>
    <col min="14338" max="14338" width="37.5703125" style="90" customWidth="1"/>
    <col min="14339" max="14593" width="9.140625" style="90"/>
    <col min="14594" max="14594" width="37.5703125" style="90" customWidth="1"/>
    <col min="14595" max="14849" width="9.140625" style="90"/>
    <col min="14850" max="14850" width="37.5703125" style="90" customWidth="1"/>
    <col min="14851" max="15105" width="9.140625" style="90"/>
    <col min="15106" max="15106" width="37.5703125" style="90" customWidth="1"/>
    <col min="15107" max="15361" width="9.140625" style="90"/>
    <col min="15362" max="15362" width="37.5703125" style="90" customWidth="1"/>
    <col min="15363" max="15617" width="9.140625" style="90"/>
    <col min="15618" max="15618" width="37.5703125" style="90" customWidth="1"/>
    <col min="15619" max="15873" width="9.140625" style="90"/>
    <col min="15874" max="15874" width="37.5703125" style="90" customWidth="1"/>
    <col min="15875" max="16129" width="9.140625" style="90"/>
    <col min="16130" max="16130" width="37.5703125" style="90" customWidth="1"/>
    <col min="16131" max="16384" width="9.140625" style="90"/>
  </cols>
  <sheetData>
    <row r="1" spans="1:19" s="55" customFormat="1" ht="23.25" x14ac:dyDescent="0.35">
      <c r="A1" s="22" t="str">
        <f>IS!A1</f>
        <v>Colgate-Palmolive Company</v>
      </c>
      <c r="F1" s="57"/>
      <c r="G1" s="57"/>
      <c r="H1" s="56"/>
    </row>
    <row r="2" spans="1:19" s="23" customFormat="1" ht="14.25" x14ac:dyDescent="0.2"/>
    <row r="3" spans="1:19" s="23" customFormat="1" ht="20.25" x14ac:dyDescent="0.3">
      <c r="A3" s="1" t="s">
        <v>233</v>
      </c>
    </row>
    <row r="4" spans="1:19" s="23" customFormat="1" ht="14.25" x14ac:dyDescent="0.2"/>
    <row r="5" spans="1:19" s="55" customFormat="1" ht="15.75" thickBot="1" x14ac:dyDescent="0.3">
      <c r="B5" s="62"/>
      <c r="C5" s="61">
        <f>BS!C5</f>
        <v>39447</v>
      </c>
      <c r="D5" s="61">
        <f>BS!D5</f>
        <v>39813</v>
      </c>
      <c r="E5" s="61">
        <f>BS!E5</f>
        <v>40178</v>
      </c>
      <c r="F5" s="61">
        <f>BS!F5</f>
        <v>40543</v>
      </c>
      <c r="G5" s="61">
        <f>BS!G5</f>
        <v>40908</v>
      </c>
      <c r="H5" s="61">
        <f>BS!H5</f>
        <v>41274</v>
      </c>
      <c r="I5" s="61">
        <f>BS!I5</f>
        <v>41639</v>
      </c>
      <c r="J5" s="61">
        <f>BS!J5</f>
        <v>42004</v>
      </c>
      <c r="K5" s="61">
        <f>BS!K5</f>
        <v>42369</v>
      </c>
      <c r="L5" s="61">
        <f>BS!L5</f>
        <v>42735</v>
      </c>
      <c r="M5" s="61">
        <f>BS!M5</f>
        <v>43100</v>
      </c>
      <c r="N5" s="335">
        <f>BS!N5</f>
        <v>43465</v>
      </c>
      <c r="O5" s="335">
        <f>BS!O5</f>
        <v>43830</v>
      </c>
      <c r="P5" s="335">
        <f>BS!P5</f>
        <v>44196</v>
      </c>
      <c r="Q5" s="335">
        <f>BS!Q5</f>
        <v>44561</v>
      </c>
      <c r="R5" s="335">
        <f>BS!R5</f>
        <v>44926</v>
      </c>
      <c r="S5" s="61"/>
    </row>
    <row r="6" spans="1:19" x14ac:dyDescent="0.25">
      <c r="B6" s="23"/>
      <c r="C6" s="95"/>
      <c r="D6" s="134"/>
      <c r="E6" s="134"/>
      <c r="F6" s="134"/>
      <c r="G6" s="134"/>
      <c r="H6" s="134"/>
      <c r="I6" s="134"/>
      <c r="J6" s="134"/>
      <c r="K6" s="134"/>
      <c r="L6" s="134"/>
      <c r="M6" s="134"/>
      <c r="N6" s="134"/>
    </row>
    <row r="7" spans="1:19" x14ac:dyDescent="0.25">
      <c r="A7" s="23" t="s">
        <v>21</v>
      </c>
      <c r="B7" s="23"/>
      <c r="C7" s="140"/>
      <c r="D7" s="245"/>
      <c r="E7" s="245"/>
      <c r="F7" s="245"/>
      <c r="G7" s="245"/>
      <c r="H7" s="245"/>
      <c r="I7" s="245"/>
      <c r="J7" s="245"/>
      <c r="K7" s="245"/>
      <c r="L7" s="245"/>
      <c r="M7" s="245"/>
      <c r="N7" s="245"/>
    </row>
    <row r="8" spans="1:19" x14ac:dyDescent="0.25">
      <c r="A8" s="23"/>
      <c r="B8" s="3" t="s">
        <v>31</v>
      </c>
      <c r="C8" s="136">
        <f>BS!C17</f>
        <v>0</v>
      </c>
      <c r="D8" s="136">
        <f>BS!D17</f>
        <v>0</v>
      </c>
      <c r="E8" s="136">
        <f>BS!E17</f>
        <v>0</v>
      </c>
      <c r="F8" s="136"/>
      <c r="G8" s="136"/>
      <c r="H8" s="136"/>
      <c r="I8" s="136">
        <f>BS!I17</f>
        <v>77</v>
      </c>
      <c r="J8" s="136">
        <f>BS!J17</f>
        <v>76</v>
      </c>
      <c r="K8" s="136">
        <f>BS!K17</f>
        <v>67</v>
      </c>
      <c r="L8" s="136">
        <f>BS!L17</f>
        <v>301</v>
      </c>
      <c r="M8" s="136">
        <f>BS!M17</f>
        <v>188</v>
      </c>
      <c r="N8" s="245">
        <f>$M$8</f>
        <v>188</v>
      </c>
      <c r="O8" s="245">
        <f>$M$8</f>
        <v>188</v>
      </c>
      <c r="P8" s="245">
        <f>$M$8</f>
        <v>188</v>
      </c>
      <c r="Q8" s="245">
        <f>$M$8</f>
        <v>188</v>
      </c>
      <c r="R8" s="245">
        <f>$M$8</f>
        <v>188</v>
      </c>
    </row>
    <row r="9" spans="1:19" x14ac:dyDescent="0.25">
      <c r="A9" s="23"/>
      <c r="B9" s="5" t="s">
        <v>32</v>
      </c>
      <c r="C9" s="136">
        <f>BS!C18</f>
        <v>361</v>
      </c>
      <c r="D9" s="136">
        <f>BS!D18</f>
        <v>164</v>
      </c>
      <c r="E9" s="136">
        <f>BS!E18</f>
        <v>685</v>
      </c>
      <c r="F9" s="136"/>
      <c r="G9" s="136"/>
      <c r="H9" s="136"/>
      <c r="I9" s="136">
        <f>BS!I18</f>
        <v>924</v>
      </c>
      <c r="J9" s="136">
        <f>BS!J18</f>
        <v>720</v>
      </c>
      <c r="K9" s="136">
        <f>BS!K18</f>
        <v>262</v>
      </c>
      <c r="L9" s="136">
        <f>BS!L18</f>
        <v>224</v>
      </c>
      <c r="M9" s="136">
        <f>BS!M18</f>
        <v>218</v>
      </c>
      <c r="N9" s="245">
        <f>$M$9</f>
        <v>218</v>
      </c>
      <c r="O9" s="245">
        <f>$M$9</f>
        <v>218</v>
      </c>
      <c r="P9" s="245">
        <f>$M$9</f>
        <v>218</v>
      </c>
      <c r="Q9" s="245">
        <f>$M$9</f>
        <v>218</v>
      </c>
      <c r="R9" s="245">
        <f>$M$9</f>
        <v>218</v>
      </c>
    </row>
    <row r="10" spans="1:19" x14ac:dyDescent="0.25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</row>
    <row r="11" spans="1:19" x14ac:dyDescent="0.25">
      <c r="A11" s="23" t="s">
        <v>234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</row>
    <row r="12" spans="1:19" x14ac:dyDescent="0.25">
      <c r="A12" s="23"/>
      <c r="B12" s="3" t="s">
        <v>31</v>
      </c>
      <c r="C12" s="261">
        <f>BS!C33</f>
        <v>264</v>
      </c>
      <c r="D12" s="261">
        <f>BS!D33</f>
        <v>82</v>
      </c>
      <c r="E12" s="261">
        <f>BS!E33</f>
        <v>82</v>
      </c>
      <c r="F12" s="261"/>
      <c r="G12" s="261"/>
      <c r="H12" s="261"/>
      <c r="I12" s="261">
        <f>BS!I33</f>
        <v>444</v>
      </c>
      <c r="J12" s="261">
        <f>BS!J33</f>
        <v>261</v>
      </c>
      <c r="K12" s="261">
        <f>BS!K33</f>
        <v>233</v>
      </c>
      <c r="L12" s="261">
        <f>BS!L33</f>
        <v>246</v>
      </c>
      <c r="M12" s="261">
        <f>BS!M33</f>
        <v>204</v>
      </c>
      <c r="N12" s="245">
        <f>$M$12</f>
        <v>204</v>
      </c>
      <c r="O12" s="245">
        <f>$M$12</f>
        <v>204</v>
      </c>
      <c r="P12" s="245">
        <f>$M$12</f>
        <v>204</v>
      </c>
      <c r="Q12" s="245">
        <f>$M$12</f>
        <v>204</v>
      </c>
      <c r="R12" s="245">
        <f>$M$12</f>
        <v>204</v>
      </c>
    </row>
    <row r="13" spans="1:19" x14ac:dyDescent="0.25">
      <c r="A13" s="23"/>
      <c r="B13" s="3" t="s">
        <v>43</v>
      </c>
      <c r="C13" s="261">
        <f>BS!C34</f>
        <v>1067</v>
      </c>
      <c r="D13" s="261">
        <f>BS!D34</f>
        <v>1316</v>
      </c>
      <c r="E13" s="261">
        <f>BS!E34</f>
        <v>1375</v>
      </c>
      <c r="F13" s="261"/>
      <c r="G13" s="261"/>
      <c r="H13" s="261"/>
      <c r="I13" s="261">
        <f>BS!I34</f>
        <v>1677</v>
      </c>
      <c r="J13" s="261">
        <f>BS!J34</f>
        <v>2223</v>
      </c>
      <c r="K13" s="261">
        <f>BS!K34</f>
        <v>1966</v>
      </c>
      <c r="L13" s="261">
        <f>BS!L34</f>
        <v>2035</v>
      </c>
      <c r="M13" s="261">
        <f>BS!M34</f>
        <v>2255</v>
      </c>
      <c r="N13" s="245">
        <f>$M$13</f>
        <v>2255</v>
      </c>
      <c r="O13" s="245">
        <f>$M$13</f>
        <v>2255</v>
      </c>
      <c r="P13" s="245">
        <f>$M$13</f>
        <v>2255</v>
      </c>
      <c r="Q13" s="245">
        <f>$M$13</f>
        <v>2255</v>
      </c>
      <c r="R13" s="245">
        <f>$M$13</f>
        <v>2255</v>
      </c>
    </row>
    <row r="14" spans="1:19" x14ac:dyDescent="0.2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</row>
    <row r="15" spans="1:19" x14ac:dyDescent="0.25"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6" spans="1:19" x14ac:dyDescent="0.25"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</row>
    <row r="17" spans="3:14" x14ac:dyDescent="0.25"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</row>
    <row r="18" spans="3:14" x14ac:dyDescent="0.25"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</row>
    <row r="19" spans="3:14" x14ac:dyDescent="0.25"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</row>
    <row r="20" spans="3:14" x14ac:dyDescent="0.25"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</row>
    <row r="21" spans="3:14" x14ac:dyDescent="0.25"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</row>
    <row r="22" spans="3:14" x14ac:dyDescent="0.25"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</row>
    <row r="23" spans="3:14" x14ac:dyDescent="0.25"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</row>
    <row r="24" spans="3:14" x14ac:dyDescent="0.25"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</row>
    <row r="25" spans="3:14" x14ac:dyDescent="0.25"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</row>
    <row r="26" spans="3:14" x14ac:dyDescent="0.25"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3:14" x14ac:dyDescent="0.25"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</row>
    <row r="28" spans="3:14" x14ac:dyDescent="0.25"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</row>
    <row r="29" spans="3:14" x14ac:dyDescent="0.25"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</row>
    <row r="30" spans="3:14" x14ac:dyDescent="0.25"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</row>
    <row r="31" spans="3:14" x14ac:dyDescent="0.25"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</row>
    <row r="32" spans="3:14" x14ac:dyDescent="0.25"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</row>
  </sheetData>
  <pageMargins left="0.7" right="0.7" top="0.75" bottom="0.75" header="0.3" footer="0.3"/>
  <pageSetup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67"/>
  <sheetViews>
    <sheetView zoomScaleNormal="100" workbookViewId="0">
      <pane xSplit="2" ySplit="5" topLeftCell="I9" activePane="bottomRight" state="frozen"/>
      <selection pane="topRight" activeCell="C1" sqref="C1"/>
      <selection pane="bottomLeft" activeCell="A6" sqref="A6"/>
      <selection pane="bottomRight" activeCell="S13" sqref="S13"/>
    </sheetView>
  </sheetViews>
  <sheetFormatPr defaultRowHeight="15" x14ac:dyDescent="0.25"/>
  <cols>
    <col min="1" max="1" width="2.5703125" style="90" customWidth="1"/>
    <col min="2" max="2" width="43.28515625" style="90" customWidth="1"/>
    <col min="3" max="3" width="14.140625" style="90" hidden="1" customWidth="1"/>
    <col min="4" max="4" width="13.85546875" style="90" hidden="1" customWidth="1"/>
    <col min="5" max="5" width="10.42578125" style="90" hidden="1" customWidth="1"/>
    <col min="6" max="7" width="10" style="90" hidden="1" customWidth="1"/>
    <col min="8" max="8" width="10.5703125" style="90" hidden="1" customWidth="1"/>
    <col min="9" max="9" width="10.42578125" style="90" bestFit="1" customWidth="1"/>
    <col min="10" max="10" width="10.28515625" style="90" bestFit="1" customWidth="1"/>
    <col min="11" max="13" width="10" style="90" bestFit="1" customWidth="1"/>
    <col min="14" max="18" width="9.85546875" style="90" bestFit="1" customWidth="1"/>
    <col min="19" max="257" width="9.140625" style="90"/>
    <col min="258" max="258" width="37.5703125" style="90" customWidth="1"/>
    <col min="259" max="259" width="12.5703125" style="90" customWidth="1"/>
    <col min="260" max="268" width="13.42578125" style="90" customWidth="1"/>
    <col min="269" max="513" width="9.140625" style="90"/>
    <col min="514" max="514" width="37.5703125" style="90" customWidth="1"/>
    <col min="515" max="515" width="12.5703125" style="90" customWidth="1"/>
    <col min="516" max="524" width="13.42578125" style="90" customWidth="1"/>
    <col min="525" max="769" width="9.140625" style="90"/>
    <col min="770" max="770" width="37.5703125" style="90" customWidth="1"/>
    <col min="771" max="771" width="12.5703125" style="90" customWidth="1"/>
    <col min="772" max="780" width="13.42578125" style="90" customWidth="1"/>
    <col min="781" max="1025" width="9.140625" style="90"/>
    <col min="1026" max="1026" width="37.5703125" style="90" customWidth="1"/>
    <col min="1027" max="1027" width="12.5703125" style="90" customWidth="1"/>
    <col min="1028" max="1036" width="13.42578125" style="90" customWidth="1"/>
    <col min="1037" max="1281" width="9.140625" style="90"/>
    <col min="1282" max="1282" width="37.5703125" style="90" customWidth="1"/>
    <col min="1283" max="1283" width="12.5703125" style="90" customWidth="1"/>
    <col min="1284" max="1292" width="13.42578125" style="90" customWidth="1"/>
    <col min="1293" max="1537" width="9.140625" style="90"/>
    <col min="1538" max="1538" width="37.5703125" style="90" customWidth="1"/>
    <col min="1539" max="1539" width="12.5703125" style="90" customWidth="1"/>
    <col min="1540" max="1548" width="13.42578125" style="90" customWidth="1"/>
    <col min="1549" max="1793" width="9.140625" style="90"/>
    <col min="1794" max="1794" width="37.5703125" style="90" customWidth="1"/>
    <col min="1795" max="1795" width="12.5703125" style="90" customWidth="1"/>
    <col min="1796" max="1804" width="13.42578125" style="90" customWidth="1"/>
    <col min="1805" max="2049" width="9.140625" style="90"/>
    <col min="2050" max="2050" width="37.5703125" style="90" customWidth="1"/>
    <col min="2051" max="2051" width="12.5703125" style="90" customWidth="1"/>
    <col min="2052" max="2060" width="13.42578125" style="90" customWidth="1"/>
    <col min="2061" max="2305" width="9.140625" style="90"/>
    <col min="2306" max="2306" width="37.5703125" style="90" customWidth="1"/>
    <col min="2307" max="2307" width="12.5703125" style="90" customWidth="1"/>
    <col min="2308" max="2316" width="13.42578125" style="90" customWidth="1"/>
    <col min="2317" max="2561" width="9.140625" style="90"/>
    <col min="2562" max="2562" width="37.5703125" style="90" customWidth="1"/>
    <col min="2563" max="2563" width="12.5703125" style="90" customWidth="1"/>
    <col min="2564" max="2572" width="13.42578125" style="90" customWidth="1"/>
    <col min="2573" max="2817" width="9.140625" style="90"/>
    <col min="2818" max="2818" width="37.5703125" style="90" customWidth="1"/>
    <col min="2819" max="2819" width="12.5703125" style="90" customWidth="1"/>
    <col min="2820" max="2828" width="13.42578125" style="90" customWidth="1"/>
    <col min="2829" max="3073" width="9.140625" style="90"/>
    <col min="3074" max="3074" width="37.5703125" style="90" customWidth="1"/>
    <col min="3075" max="3075" width="12.5703125" style="90" customWidth="1"/>
    <col min="3076" max="3084" width="13.42578125" style="90" customWidth="1"/>
    <col min="3085" max="3329" width="9.140625" style="90"/>
    <col min="3330" max="3330" width="37.5703125" style="90" customWidth="1"/>
    <col min="3331" max="3331" width="12.5703125" style="90" customWidth="1"/>
    <col min="3332" max="3340" width="13.42578125" style="90" customWidth="1"/>
    <col min="3341" max="3585" width="9.140625" style="90"/>
    <col min="3586" max="3586" width="37.5703125" style="90" customWidth="1"/>
    <col min="3587" max="3587" width="12.5703125" style="90" customWidth="1"/>
    <col min="3588" max="3596" width="13.42578125" style="90" customWidth="1"/>
    <col min="3597" max="3841" width="9.140625" style="90"/>
    <col min="3842" max="3842" width="37.5703125" style="90" customWidth="1"/>
    <col min="3843" max="3843" width="12.5703125" style="90" customWidth="1"/>
    <col min="3844" max="3852" width="13.42578125" style="90" customWidth="1"/>
    <col min="3853" max="4097" width="9.140625" style="90"/>
    <col min="4098" max="4098" width="37.5703125" style="90" customWidth="1"/>
    <col min="4099" max="4099" width="12.5703125" style="90" customWidth="1"/>
    <col min="4100" max="4108" width="13.42578125" style="90" customWidth="1"/>
    <col min="4109" max="4353" width="9.140625" style="90"/>
    <col min="4354" max="4354" width="37.5703125" style="90" customWidth="1"/>
    <col min="4355" max="4355" width="12.5703125" style="90" customWidth="1"/>
    <col min="4356" max="4364" width="13.42578125" style="90" customWidth="1"/>
    <col min="4365" max="4609" width="9.140625" style="90"/>
    <col min="4610" max="4610" width="37.5703125" style="90" customWidth="1"/>
    <col min="4611" max="4611" width="12.5703125" style="90" customWidth="1"/>
    <col min="4612" max="4620" width="13.42578125" style="90" customWidth="1"/>
    <col min="4621" max="4865" width="9.140625" style="90"/>
    <col min="4866" max="4866" width="37.5703125" style="90" customWidth="1"/>
    <col min="4867" max="4867" width="12.5703125" style="90" customWidth="1"/>
    <col min="4868" max="4876" width="13.42578125" style="90" customWidth="1"/>
    <col min="4877" max="5121" width="9.140625" style="90"/>
    <col min="5122" max="5122" width="37.5703125" style="90" customWidth="1"/>
    <col min="5123" max="5123" width="12.5703125" style="90" customWidth="1"/>
    <col min="5124" max="5132" width="13.42578125" style="90" customWidth="1"/>
    <col min="5133" max="5377" width="9.140625" style="90"/>
    <col min="5378" max="5378" width="37.5703125" style="90" customWidth="1"/>
    <col min="5379" max="5379" width="12.5703125" style="90" customWidth="1"/>
    <col min="5380" max="5388" width="13.42578125" style="90" customWidth="1"/>
    <col min="5389" max="5633" width="9.140625" style="90"/>
    <col min="5634" max="5634" width="37.5703125" style="90" customWidth="1"/>
    <col min="5635" max="5635" width="12.5703125" style="90" customWidth="1"/>
    <col min="5636" max="5644" width="13.42578125" style="90" customWidth="1"/>
    <col min="5645" max="5889" width="9.140625" style="90"/>
    <col min="5890" max="5890" width="37.5703125" style="90" customWidth="1"/>
    <col min="5891" max="5891" width="12.5703125" style="90" customWidth="1"/>
    <col min="5892" max="5900" width="13.42578125" style="90" customWidth="1"/>
    <col min="5901" max="6145" width="9.140625" style="90"/>
    <col min="6146" max="6146" width="37.5703125" style="90" customWidth="1"/>
    <col min="6147" max="6147" width="12.5703125" style="90" customWidth="1"/>
    <col min="6148" max="6156" width="13.42578125" style="90" customWidth="1"/>
    <col min="6157" max="6401" width="9.140625" style="90"/>
    <col min="6402" max="6402" width="37.5703125" style="90" customWidth="1"/>
    <col min="6403" max="6403" width="12.5703125" style="90" customWidth="1"/>
    <col min="6404" max="6412" width="13.42578125" style="90" customWidth="1"/>
    <col min="6413" max="6657" width="9.140625" style="90"/>
    <col min="6658" max="6658" width="37.5703125" style="90" customWidth="1"/>
    <col min="6659" max="6659" width="12.5703125" style="90" customWidth="1"/>
    <col min="6660" max="6668" width="13.42578125" style="90" customWidth="1"/>
    <col min="6669" max="6913" width="9.140625" style="90"/>
    <col min="6914" max="6914" width="37.5703125" style="90" customWidth="1"/>
    <col min="6915" max="6915" width="12.5703125" style="90" customWidth="1"/>
    <col min="6916" max="6924" width="13.42578125" style="90" customWidth="1"/>
    <col min="6925" max="7169" width="9.140625" style="90"/>
    <col min="7170" max="7170" width="37.5703125" style="90" customWidth="1"/>
    <col min="7171" max="7171" width="12.5703125" style="90" customWidth="1"/>
    <col min="7172" max="7180" width="13.42578125" style="90" customWidth="1"/>
    <col min="7181" max="7425" width="9.140625" style="90"/>
    <col min="7426" max="7426" width="37.5703125" style="90" customWidth="1"/>
    <col min="7427" max="7427" width="12.5703125" style="90" customWidth="1"/>
    <col min="7428" max="7436" width="13.42578125" style="90" customWidth="1"/>
    <col min="7437" max="7681" width="9.140625" style="90"/>
    <col min="7682" max="7682" width="37.5703125" style="90" customWidth="1"/>
    <col min="7683" max="7683" width="12.5703125" style="90" customWidth="1"/>
    <col min="7684" max="7692" width="13.42578125" style="90" customWidth="1"/>
    <col min="7693" max="7937" width="9.140625" style="90"/>
    <col min="7938" max="7938" width="37.5703125" style="90" customWidth="1"/>
    <col min="7939" max="7939" width="12.5703125" style="90" customWidth="1"/>
    <col min="7940" max="7948" width="13.42578125" style="90" customWidth="1"/>
    <col min="7949" max="8193" width="9.140625" style="90"/>
    <col min="8194" max="8194" width="37.5703125" style="90" customWidth="1"/>
    <col min="8195" max="8195" width="12.5703125" style="90" customWidth="1"/>
    <col min="8196" max="8204" width="13.42578125" style="90" customWidth="1"/>
    <col min="8205" max="8449" width="9.140625" style="90"/>
    <col min="8450" max="8450" width="37.5703125" style="90" customWidth="1"/>
    <col min="8451" max="8451" width="12.5703125" style="90" customWidth="1"/>
    <col min="8452" max="8460" width="13.42578125" style="90" customWidth="1"/>
    <col min="8461" max="8705" width="9.140625" style="90"/>
    <col min="8706" max="8706" width="37.5703125" style="90" customWidth="1"/>
    <col min="8707" max="8707" width="12.5703125" style="90" customWidth="1"/>
    <col min="8708" max="8716" width="13.42578125" style="90" customWidth="1"/>
    <col min="8717" max="8961" width="9.140625" style="90"/>
    <col min="8962" max="8962" width="37.5703125" style="90" customWidth="1"/>
    <col min="8963" max="8963" width="12.5703125" style="90" customWidth="1"/>
    <col min="8964" max="8972" width="13.42578125" style="90" customWidth="1"/>
    <col min="8973" max="9217" width="9.140625" style="90"/>
    <col min="9218" max="9218" width="37.5703125" style="90" customWidth="1"/>
    <col min="9219" max="9219" width="12.5703125" style="90" customWidth="1"/>
    <col min="9220" max="9228" width="13.42578125" style="90" customWidth="1"/>
    <col min="9229" max="9473" width="9.140625" style="90"/>
    <col min="9474" max="9474" width="37.5703125" style="90" customWidth="1"/>
    <col min="9475" max="9475" width="12.5703125" style="90" customWidth="1"/>
    <col min="9476" max="9484" width="13.42578125" style="90" customWidth="1"/>
    <col min="9485" max="9729" width="9.140625" style="90"/>
    <col min="9730" max="9730" width="37.5703125" style="90" customWidth="1"/>
    <col min="9731" max="9731" width="12.5703125" style="90" customWidth="1"/>
    <col min="9732" max="9740" width="13.42578125" style="90" customWidth="1"/>
    <col min="9741" max="9985" width="9.140625" style="90"/>
    <col min="9986" max="9986" width="37.5703125" style="90" customWidth="1"/>
    <col min="9987" max="9987" width="12.5703125" style="90" customWidth="1"/>
    <col min="9988" max="9996" width="13.42578125" style="90" customWidth="1"/>
    <col min="9997" max="10241" width="9.140625" style="90"/>
    <col min="10242" max="10242" width="37.5703125" style="90" customWidth="1"/>
    <col min="10243" max="10243" width="12.5703125" style="90" customWidth="1"/>
    <col min="10244" max="10252" width="13.42578125" style="90" customWidth="1"/>
    <col min="10253" max="10497" width="9.140625" style="90"/>
    <col min="10498" max="10498" width="37.5703125" style="90" customWidth="1"/>
    <col min="10499" max="10499" width="12.5703125" style="90" customWidth="1"/>
    <col min="10500" max="10508" width="13.42578125" style="90" customWidth="1"/>
    <col min="10509" max="10753" width="9.140625" style="90"/>
    <col min="10754" max="10754" width="37.5703125" style="90" customWidth="1"/>
    <col min="10755" max="10755" width="12.5703125" style="90" customWidth="1"/>
    <col min="10756" max="10764" width="13.42578125" style="90" customWidth="1"/>
    <col min="10765" max="11009" width="9.140625" style="90"/>
    <col min="11010" max="11010" width="37.5703125" style="90" customWidth="1"/>
    <col min="11011" max="11011" width="12.5703125" style="90" customWidth="1"/>
    <col min="11012" max="11020" width="13.42578125" style="90" customWidth="1"/>
    <col min="11021" max="11265" width="9.140625" style="90"/>
    <col min="11266" max="11266" width="37.5703125" style="90" customWidth="1"/>
    <col min="11267" max="11267" width="12.5703125" style="90" customWidth="1"/>
    <col min="11268" max="11276" width="13.42578125" style="90" customWidth="1"/>
    <col min="11277" max="11521" width="9.140625" style="90"/>
    <col min="11522" max="11522" width="37.5703125" style="90" customWidth="1"/>
    <col min="11523" max="11523" width="12.5703125" style="90" customWidth="1"/>
    <col min="11524" max="11532" width="13.42578125" style="90" customWidth="1"/>
    <col min="11533" max="11777" width="9.140625" style="90"/>
    <col min="11778" max="11778" width="37.5703125" style="90" customWidth="1"/>
    <col min="11779" max="11779" width="12.5703125" style="90" customWidth="1"/>
    <col min="11780" max="11788" width="13.42578125" style="90" customWidth="1"/>
    <col min="11789" max="12033" width="9.140625" style="90"/>
    <col min="12034" max="12034" width="37.5703125" style="90" customWidth="1"/>
    <col min="12035" max="12035" width="12.5703125" style="90" customWidth="1"/>
    <col min="12036" max="12044" width="13.42578125" style="90" customWidth="1"/>
    <col min="12045" max="12289" width="9.140625" style="90"/>
    <col min="12290" max="12290" width="37.5703125" style="90" customWidth="1"/>
    <col min="12291" max="12291" width="12.5703125" style="90" customWidth="1"/>
    <col min="12292" max="12300" width="13.42578125" style="90" customWidth="1"/>
    <col min="12301" max="12545" width="9.140625" style="90"/>
    <col min="12546" max="12546" width="37.5703125" style="90" customWidth="1"/>
    <col min="12547" max="12547" width="12.5703125" style="90" customWidth="1"/>
    <col min="12548" max="12556" width="13.42578125" style="90" customWidth="1"/>
    <col min="12557" max="12801" width="9.140625" style="90"/>
    <col min="12802" max="12802" width="37.5703125" style="90" customWidth="1"/>
    <col min="12803" max="12803" width="12.5703125" style="90" customWidth="1"/>
    <col min="12804" max="12812" width="13.42578125" style="90" customWidth="1"/>
    <col min="12813" max="13057" width="9.140625" style="90"/>
    <col min="13058" max="13058" width="37.5703125" style="90" customWidth="1"/>
    <col min="13059" max="13059" width="12.5703125" style="90" customWidth="1"/>
    <col min="13060" max="13068" width="13.42578125" style="90" customWidth="1"/>
    <col min="13069" max="13313" width="9.140625" style="90"/>
    <col min="13314" max="13314" width="37.5703125" style="90" customWidth="1"/>
    <col min="13315" max="13315" width="12.5703125" style="90" customWidth="1"/>
    <col min="13316" max="13324" width="13.42578125" style="90" customWidth="1"/>
    <col min="13325" max="13569" width="9.140625" style="90"/>
    <col min="13570" max="13570" width="37.5703125" style="90" customWidth="1"/>
    <col min="13571" max="13571" width="12.5703125" style="90" customWidth="1"/>
    <col min="13572" max="13580" width="13.42578125" style="90" customWidth="1"/>
    <col min="13581" max="13825" width="9.140625" style="90"/>
    <col min="13826" max="13826" width="37.5703125" style="90" customWidth="1"/>
    <col min="13827" max="13827" width="12.5703125" style="90" customWidth="1"/>
    <col min="13828" max="13836" width="13.42578125" style="90" customWidth="1"/>
    <col min="13837" max="14081" width="9.140625" style="90"/>
    <col min="14082" max="14082" width="37.5703125" style="90" customWidth="1"/>
    <col min="14083" max="14083" width="12.5703125" style="90" customWidth="1"/>
    <col min="14084" max="14092" width="13.42578125" style="90" customWidth="1"/>
    <col min="14093" max="14337" width="9.140625" style="90"/>
    <col min="14338" max="14338" width="37.5703125" style="90" customWidth="1"/>
    <col min="14339" max="14339" width="12.5703125" style="90" customWidth="1"/>
    <col min="14340" max="14348" width="13.42578125" style="90" customWidth="1"/>
    <col min="14349" max="14593" width="9.140625" style="90"/>
    <col min="14594" max="14594" width="37.5703125" style="90" customWidth="1"/>
    <col min="14595" max="14595" width="12.5703125" style="90" customWidth="1"/>
    <col min="14596" max="14604" width="13.42578125" style="90" customWidth="1"/>
    <col min="14605" max="14849" width="9.140625" style="90"/>
    <col min="14850" max="14850" width="37.5703125" style="90" customWidth="1"/>
    <col min="14851" max="14851" width="12.5703125" style="90" customWidth="1"/>
    <col min="14852" max="14860" width="13.42578125" style="90" customWidth="1"/>
    <col min="14861" max="15105" width="9.140625" style="90"/>
    <col min="15106" max="15106" width="37.5703125" style="90" customWidth="1"/>
    <col min="15107" max="15107" width="12.5703125" style="90" customWidth="1"/>
    <col min="15108" max="15116" width="13.42578125" style="90" customWidth="1"/>
    <col min="15117" max="15361" width="9.140625" style="90"/>
    <col min="15362" max="15362" width="37.5703125" style="90" customWidth="1"/>
    <col min="15363" max="15363" width="12.5703125" style="90" customWidth="1"/>
    <col min="15364" max="15372" width="13.42578125" style="90" customWidth="1"/>
    <col min="15373" max="15617" width="9.140625" style="90"/>
    <col min="15618" max="15618" width="37.5703125" style="90" customWidth="1"/>
    <col min="15619" max="15619" width="12.5703125" style="90" customWidth="1"/>
    <col min="15620" max="15628" width="13.42578125" style="90" customWidth="1"/>
    <col min="15629" max="15873" width="9.140625" style="90"/>
    <col min="15874" max="15874" width="37.5703125" style="90" customWidth="1"/>
    <col min="15875" max="15875" width="12.5703125" style="90" customWidth="1"/>
    <col min="15876" max="15884" width="13.42578125" style="90" customWidth="1"/>
    <col min="15885" max="16129" width="9.140625" style="90"/>
    <col min="16130" max="16130" width="37.5703125" style="90" customWidth="1"/>
    <col min="16131" max="16131" width="12.5703125" style="90" customWidth="1"/>
    <col min="16132" max="16140" width="13.42578125" style="90" customWidth="1"/>
    <col min="16141" max="16384" width="9.140625" style="90"/>
  </cols>
  <sheetData>
    <row r="1" spans="1:18" s="55" customFormat="1" ht="23.25" x14ac:dyDescent="0.35">
      <c r="A1" s="22" t="str">
        <f>IS!A1</f>
        <v>Colgate-Palmolive Company</v>
      </c>
      <c r="F1" s="57"/>
      <c r="G1" s="57"/>
      <c r="H1" s="56"/>
    </row>
    <row r="2" spans="1:18" s="23" customFormat="1" ht="14.25" x14ac:dyDescent="0.2"/>
    <row r="3" spans="1:18" s="23" customFormat="1" ht="20.25" x14ac:dyDescent="0.3">
      <c r="A3" s="1" t="s">
        <v>193</v>
      </c>
    </row>
    <row r="4" spans="1:18" s="23" customFormat="1" ht="14.25" x14ac:dyDescent="0.2"/>
    <row r="5" spans="1:18" s="55" customFormat="1" ht="15.75" thickBot="1" x14ac:dyDescent="0.3">
      <c r="B5" s="62"/>
      <c r="C5" s="61">
        <f>BS!C5</f>
        <v>39447</v>
      </c>
      <c r="D5" s="61">
        <f>BS!D5</f>
        <v>39813</v>
      </c>
      <c r="E5" s="61">
        <f>BS!E5</f>
        <v>40178</v>
      </c>
      <c r="F5" s="61">
        <f>BS!F5</f>
        <v>40543</v>
      </c>
      <c r="G5" s="61">
        <f>BS!G5</f>
        <v>40908</v>
      </c>
      <c r="H5" s="61">
        <f>BS!H5</f>
        <v>41274</v>
      </c>
      <c r="I5" s="61">
        <f>BS!I5</f>
        <v>41639</v>
      </c>
      <c r="J5" s="61">
        <f>BS!J5</f>
        <v>42004</v>
      </c>
      <c r="K5" s="61">
        <f>BS!K5</f>
        <v>42369</v>
      </c>
      <c r="L5" s="61">
        <f>BS!L5</f>
        <v>42735</v>
      </c>
      <c r="M5" s="61">
        <f>BS!M5</f>
        <v>43100</v>
      </c>
      <c r="N5" s="335">
        <f>BS!N5</f>
        <v>43465</v>
      </c>
      <c r="O5" s="335">
        <f>BS!O5</f>
        <v>43830</v>
      </c>
      <c r="P5" s="335">
        <f>BS!P5</f>
        <v>44196</v>
      </c>
      <c r="Q5" s="335">
        <f>BS!Q5</f>
        <v>44561</v>
      </c>
      <c r="R5" s="335">
        <f>BS!R5</f>
        <v>44926</v>
      </c>
    </row>
    <row r="6" spans="1:18" x14ac:dyDescent="0.25">
      <c r="B6" s="23" t="s">
        <v>138</v>
      </c>
      <c r="C6" s="265"/>
      <c r="D6" s="265"/>
      <c r="E6" s="265"/>
      <c r="F6" s="265"/>
      <c r="G6" s="265"/>
      <c r="H6" s="265"/>
      <c r="I6" s="265"/>
      <c r="J6" s="266"/>
      <c r="K6" s="266"/>
      <c r="L6" s="266"/>
      <c r="M6" s="266"/>
      <c r="N6" s="346">
        <f>M11</f>
        <v>243</v>
      </c>
      <c r="O6" s="346">
        <f ca="1">N11</f>
        <v>-34.438411338419883</v>
      </c>
      <c r="P6" s="346">
        <f ca="1">O11</f>
        <v>-292.34456791235471</v>
      </c>
      <c r="Q6" s="346">
        <f ca="1">P11</f>
        <v>-536.35977576967207</v>
      </c>
      <c r="R6" s="346">
        <f ca="1">Q11</f>
        <v>-766.99689899343844</v>
      </c>
    </row>
    <row r="7" spans="1:18" x14ac:dyDescent="0.25">
      <c r="B7" s="23" t="s">
        <v>139</v>
      </c>
      <c r="C7" s="265"/>
      <c r="D7" s="265"/>
      <c r="E7" s="265"/>
      <c r="F7" s="265"/>
      <c r="G7" s="265"/>
      <c r="H7" s="265"/>
      <c r="I7" s="265"/>
      <c r="J7" s="266"/>
      <c r="K7" s="266"/>
      <c r="L7" s="266"/>
      <c r="M7" s="266"/>
      <c r="N7" s="346">
        <f ca="1">N31</f>
        <v>1885.2052955386002</v>
      </c>
      <c r="O7" s="346">
        <f ca="1">O31</f>
        <v>1950.312811420217</v>
      </c>
      <c r="P7" s="346">
        <f ca="1">P31</f>
        <v>1996.6159738089416</v>
      </c>
      <c r="Q7" s="346">
        <f ca="1">Q31</f>
        <v>2041.2095892541117</v>
      </c>
      <c r="R7" s="346">
        <f ca="1">R31</f>
        <v>2095.0893157868732</v>
      </c>
    </row>
    <row r="8" spans="1:18" x14ac:dyDescent="0.25">
      <c r="B8" s="23" t="s">
        <v>140</v>
      </c>
      <c r="C8" s="266"/>
      <c r="D8" s="266"/>
      <c r="E8" s="266"/>
      <c r="F8" s="266"/>
      <c r="G8" s="266"/>
      <c r="H8" s="266"/>
      <c r="I8" s="266"/>
      <c r="J8" s="266"/>
      <c r="K8" s="266"/>
      <c r="L8" s="266"/>
      <c r="M8" s="266"/>
      <c r="N8" s="195">
        <f>-N18</f>
        <v>-1350</v>
      </c>
      <c r="O8" s="195">
        <f>-O18</f>
        <v>-1350</v>
      </c>
      <c r="P8" s="195">
        <f>-P18</f>
        <v>-1350</v>
      </c>
      <c r="Q8" s="195">
        <f>-Q18</f>
        <v>-1350</v>
      </c>
      <c r="R8" s="195">
        <f>-R18</f>
        <v>-1350</v>
      </c>
    </row>
    <row r="9" spans="1:18" x14ac:dyDescent="0.25">
      <c r="B9" s="23" t="s">
        <v>141</v>
      </c>
      <c r="C9" s="266"/>
      <c r="D9" s="266"/>
      <c r="E9" s="266"/>
      <c r="F9" s="266"/>
      <c r="G9" s="266"/>
      <c r="H9" s="266"/>
      <c r="I9" s="266"/>
      <c r="J9" s="266"/>
      <c r="K9" s="266"/>
      <c r="L9" s="266"/>
      <c r="M9" s="266"/>
      <c r="N9" s="195">
        <f ca="1">-N30</f>
        <v>-1319.6437068770201</v>
      </c>
      <c r="O9" s="195">
        <f ca="1">-O30</f>
        <v>-1365.2189679941519</v>
      </c>
      <c r="P9" s="195">
        <f ca="1">-P30</f>
        <v>-1397.631181666259</v>
      </c>
      <c r="Q9" s="195">
        <f ca="1">-Q30</f>
        <v>-1428.8467124778781</v>
      </c>
      <c r="R9" s="195">
        <f ca="1">-R30</f>
        <v>-1466.562521050811</v>
      </c>
    </row>
    <row r="10" spans="1:18" x14ac:dyDescent="0.25">
      <c r="B10" s="23" t="s">
        <v>142</v>
      </c>
      <c r="C10" s="266"/>
      <c r="D10" s="266"/>
      <c r="E10" s="266"/>
      <c r="F10" s="266"/>
      <c r="G10" s="266"/>
      <c r="H10" s="266"/>
      <c r="I10" s="266"/>
      <c r="J10" s="266"/>
      <c r="K10" s="266"/>
      <c r="L10" s="266"/>
      <c r="M10" s="266"/>
      <c r="N10" s="195">
        <f>$M$23</f>
        <v>507</v>
      </c>
      <c r="O10" s="195">
        <f>$M$23</f>
        <v>507</v>
      </c>
      <c r="P10" s="195">
        <f>$M$23</f>
        <v>507</v>
      </c>
      <c r="Q10" s="195">
        <f>$M$23</f>
        <v>507</v>
      </c>
      <c r="R10" s="195">
        <f>$M$23</f>
        <v>507</v>
      </c>
    </row>
    <row r="11" spans="1:18" x14ac:dyDescent="0.25">
      <c r="B11" s="23" t="s">
        <v>143</v>
      </c>
      <c r="C11" s="152">
        <f>BS!C47</f>
        <v>2396</v>
      </c>
      <c r="D11" s="152">
        <f>BS!D47</f>
        <v>2044</v>
      </c>
      <c r="E11" s="152">
        <f>BS!E47</f>
        <v>3257</v>
      </c>
      <c r="F11" s="152"/>
      <c r="G11" s="152"/>
      <c r="H11" s="152"/>
      <c r="I11" s="152">
        <f>BS!I47</f>
        <v>2536</v>
      </c>
      <c r="J11" s="152">
        <f>BS!J47</f>
        <v>1385</v>
      </c>
      <c r="K11" s="152">
        <f>BS!K47</f>
        <v>-44</v>
      </c>
      <c r="L11" s="152">
        <f>BS!L47</f>
        <v>17</v>
      </c>
      <c r="M11" s="152">
        <f>BS!M47</f>
        <v>243</v>
      </c>
      <c r="N11" s="195">
        <f ca="1">SUM(N6:N10)</f>
        <v>-34.438411338419883</v>
      </c>
      <c r="O11" s="195">
        <f ca="1">SUM(O6:O10)</f>
        <v>-292.34456791235471</v>
      </c>
      <c r="P11" s="195">
        <f ca="1">SUM(P6:P10)</f>
        <v>-536.35977576967207</v>
      </c>
      <c r="Q11" s="195">
        <f ca="1">SUM(Q6:Q10)</f>
        <v>-766.99689899343844</v>
      </c>
      <c r="R11" s="195">
        <f ca="1">SUM(R6:R10)</f>
        <v>-981.47010425737631</v>
      </c>
    </row>
    <row r="12" spans="1:18" x14ac:dyDescent="0.25">
      <c r="B12" s="23"/>
      <c r="C12" s="155"/>
      <c r="D12" s="155"/>
      <c r="E12" s="155"/>
      <c r="F12" s="155"/>
      <c r="G12" s="155"/>
      <c r="H12" s="155"/>
      <c r="I12" s="155"/>
      <c r="J12" s="155"/>
      <c r="K12" s="155"/>
      <c r="L12" s="155"/>
      <c r="M12" s="153"/>
      <c r="N12" s="195"/>
      <c r="O12" s="347"/>
      <c r="P12" s="347"/>
      <c r="Q12" s="347"/>
      <c r="R12" s="347"/>
    </row>
    <row r="13" spans="1:18" x14ac:dyDescent="0.25">
      <c r="B13" s="91" t="s">
        <v>144</v>
      </c>
      <c r="C13" s="155"/>
      <c r="D13" s="155"/>
      <c r="E13" s="155"/>
      <c r="F13" s="155"/>
      <c r="G13" s="155"/>
      <c r="H13" s="155"/>
      <c r="I13" s="155"/>
      <c r="J13" s="155"/>
      <c r="K13" s="155"/>
      <c r="L13" s="155"/>
      <c r="M13" s="153"/>
      <c r="N13" s="195"/>
      <c r="O13" s="347"/>
      <c r="P13" s="347"/>
      <c r="Q13" s="347"/>
      <c r="R13" s="347"/>
    </row>
    <row r="14" spans="1:18" x14ac:dyDescent="0.25">
      <c r="B14" s="23" t="s">
        <v>145</v>
      </c>
      <c r="C14" s="264">
        <f>IS!C21</f>
        <v>1.6</v>
      </c>
      <c r="D14" s="264">
        <f>IS!D21</f>
        <v>1.83</v>
      </c>
      <c r="E14" s="264">
        <f>IS!E21</f>
        <v>2.1850000000000001</v>
      </c>
      <c r="F14" s="264"/>
      <c r="G14" s="264"/>
      <c r="H14" s="264"/>
      <c r="I14" s="264">
        <f>IS!I21</f>
        <v>2.38</v>
      </c>
      <c r="J14" s="264">
        <f>IS!J21</f>
        <v>2.36</v>
      </c>
      <c r="K14" s="264">
        <f>IS!K21</f>
        <v>1.52</v>
      </c>
      <c r="L14" s="264">
        <f>IS!L21</f>
        <v>2.72</v>
      </c>
      <c r="M14" s="264">
        <f>IS!M21</f>
        <v>2.2799999999999998</v>
      </c>
      <c r="N14" s="345">
        <f ca="1">IS!N21</f>
        <v>2.1234571925417889</v>
      </c>
      <c r="O14" s="345">
        <f ca="1">IS!O21</f>
        <v>2.1967929842534546</v>
      </c>
      <c r="P14" s="345">
        <f ca="1">IS!P21</f>
        <v>2.2489479317514549</v>
      </c>
      <c r="Q14" s="345">
        <f ca="1">IS!Q21</f>
        <v>2.2991772800789727</v>
      </c>
      <c r="R14" s="345">
        <f ca="1">IS!R21</f>
        <v>2.3598663164979423</v>
      </c>
    </row>
    <row r="15" spans="1:18" x14ac:dyDescent="0.25">
      <c r="B15" s="23" t="s">
        <v>146</v>
      </c>
      <c r="C15" s="155"/>
      <c r="D15" s="155"/>
      <c r="E15" s="155"/>
      <c r="F15" s="267"/>
      <c r="G15" s="278"/>
      <c r="H15" s="278"/>
      <c r="I15" s="278"/>
      <c r="J15" s="279"/>
      <c r="K15" s="279">
        <f>K16/K14</f>
        <v>44.754155124653742</v>
      </c>
      <c r="L15" s="279">
        <f>L16/L14</f>
        <v>25.430508991161229</v>
      </c>
      <c r="M15" s="279">
        <f>M16/M14</f>
        <v>31.95815058479533</v>
      </c>
      <c r="N15" s="279">
        <v>33</v>
      </c>
      <c r="O15" s="279">
        <v>33</v>
      </c>
      <c r="P15" s="279">
        <v>33</v>
      </c>
      <c r="Q15" s="279">
        <v>33</v>
      </c>
      <c r="R15" s="279">
        <v>33</v>
      </c>
    </row>
    <row r="16" spans="1:18" x14ac:dyDescent="0.25">
      <c r="B16" s="23" t="s">
        <v>235</v>
      </c>
      <c r="C16" s="268"/>
      <c r="D16" s="268"/>
      <c r="E16" s="268"/>
      <c r="F16" s="11"/>
      <c r="G16" s="11"/>
      <c r="H16" s="11"/>
      <c r="I16" s="11"/>
      <c r="J16" s="11"/>
      <c r="K16" s="11">
        <f>K18/K17</f>
        <v>68.026315789473685</v>
      </c>
      <c r="L16" s="11">
        <f>L18/L17</f>
        <v>69.170984455958546</v>
      </c>
      <c r="M16" s="11">
        <f>M18/M17</f>
        <v>72.864583333333343</v>
      </c>
      <c r="N16" s="280">
        <f ca="1">N15*N14</f>
        <v>70.074087353879037</v>
      </c>
      <c r="O16" s="280">
        <f ca="1">O15*O14</f>
        <v>72.494168480363996</v>
      </c>
      <c r="P16" s="280">
        <f ca="1">P15*P14</f>
        <v>74.215281747798016</v>
      </c>
      <c r="Q16" s="280">
        <f ca="1">Q15*Q14</f>
        <v>75.872850242606106</v>
      </c>
      <c r="R16" s="280">
        <f ca="1">R15*R14</f>
        <v>77.875588444432097</v>
      </c>
    </row>
    <row r="17" spans="2:18" x14ac:dyDescent="0.25">
      <c r="B17" s="23" t="s">
        <v>147</v>
      </c>
      <c r="C17" s="269"/>
      <c r="D17" s="269"/>
      <c r="E17" s="269"/>
      <c r="F17" s="270"/>
      <c r="G17" s="277"/>
      <c r="H17" s="277"/>
      <c r="I17" s="224"/>
      <c r="J17" s="224"/>
      <c r="K17" s="224">
        <v>22.8</v>
      </c>
      <c r="L17" s="224">
        <v>19.3</v>
      </c>
      <c r="M17" s="224">
        <v>19.2</v>
      </c>
      <c r="N17" s="348">
        <f ca="1">N18/N16</f>
        <v>19.265324044570225</v>
      </c>
      <c r="O17" s="348">
        <f ca="1">O18/O16</f>
        <v>18.622187526237582</v>
      </c>
      <c r="P17" s="348">
        <f ca="1">P18/P16</f>
        <v>18.19032372049244</v>
      </c>
      <c r="Q17" s="348">
        <f ca="1">Q18/Q16</f>
        <v>17.792925871155855</v>
      </c>
      <c r="R17" s="348">
        <f ca="1">R18/R16</f>
        <v>17.335342524741094</v>
      </c>
    </row>
    <row r="18" spans="2:18" x14ac:dyDescent="0.25">
      <c r="B18" s="23" t="s">
        <v>148</v>
      </c>
      <c r="C18" s="272"/>
      <c r="D18" s="272"/>
      <c r="E18" s="272"/>
      <c r="F18" s="273"/>
      <c r="G18" s="273"/>
      <c r="H18" s="273"/>
      <c r="I18" s="273">
        <f>-CF!I44</f>
        <v>1521</v>
      </c>
      <c r="J18" s="273">
        <f>-CF!J44</f>
        <v>1530</v>
      </c>
      <c r="K18" s="273">
        <f>-CF!K44</f>
        <v>1551</v>
      </c>
      <c r="L18" s="273">
        <f>-CF!L44</f>
        <v>1335</v>
      </c>
      <c r="M18" s="273">
        <f>-CF!M44</f>
        <v>1399</v>
      </c>
      <c r="N18" s="280">
        <v>1350</v>
      </c>
      <c r="O18" s="280">
        <v>1350</v>
      </c>
      <c r="P18" s="280">
        <v>1350</v>
      </c>
      <c r="Q18" s="280">
        <v>1350</v>
      </c>
      <c r="R18" s="280">
        <v>1350</v>
      </c>
    </row>
    <row r="19" spans="2:18" x14ac:dyDescent="0.25">
      <c r="B19" s="23"/>
      <c r="C19" s="155"/>
      <c r="D19" s="155"/>
      <c r="E19" s="155"/>
      <c r="F19" s="271"/>
      <c r="G19" s="271"/>
      <c r="H19" s="271"/>
      <c r="I19" s="271"/>
      <c r="J19" s="271"/>
      <c r="K19" s="271"/>
      <c r="L19" s="271"/>
      <c r="M19" s="276"/>
      <c r="N19" s="276"/>
    </row>
    <row r="20" spans="2:18" x14ac:dyDescent="0.25">
      <c r="B20" s="91" t="s">
        <v>149</v>
      </c>
      <c r="C20" s="155"/>
      <c r="D20" s="155"/>
      <c r="E20" s="155"/>
      <c r="F20" s="271"/>
      <c r="G20" s="271"/>
      <c r="H20" s="271"/>
      <c r="I20" s="271"/>
      <c r="J20" s="271"/>
      <c r="K20" s="271"/>
      <c r="L20" s="271"/>
      <c r="M20" s="276"/>
      <c r="N20" s="276"/>
    </row>
    <row r="21" spans="2:18" x14ac:dyDescent="0.25">
      <c r="B21" s="23" t="s">
        <v>150</v>
      </c>
      <c r="C21" s="274"/>
      <c r="D21" s="274"/>
      <c r="E21" s="274"/>
      <c r="F21" s="267"/>
      <c r="G21" s="262"/>
      <c r="H21" s="262"/>
      <c r="I21" s="262"/>
      <c r="J21" s="262"/>
      <c r="K21" s="349">
        <v>7.39</v>
      </c>
      <c r="L21" s="349">
        <v>8.5299999999999994</v>
      </c>
      <c r="M21" s="349">
        <v>9.67</v>
      </c>
      <c r="N21" s="350"/>
      <c r="O21" s="350"/>
      <c r="P21" s="351"/>
      <c r="Q21" s="351"/>
      <c r="R21" s="351"/>
    </row>
    <row r="22" spans="2:18" x14ac:dyDescent="0.25">
      <c r="B22" s="23" t="s">
        <v>151</v>
      </c>
      <c r="C22" s="268"/>
      <c r="D22" s="268"/>
      <c r="E22" s="268"/>
      <c r="F22" s="275"/>
      <c r="G22" s="281"/>
      <c r="H22" s="281"/>
      <c r="I22" s="281"/>
      <c r="J22" s="283"/>
      <c r="K22" s="349">
        <f>K23/K21</f>
        <v>46.955345060893102</v>
      </c>
      <c r="L22" s="349">
        <f>L23/L21</f>
        <v>52.28604923798359</v>
      </c>
      <c r="M22" s="349">
        <f>M23/M21</f>
        <v>52.430196483971045</v>
      </c>
      <c r="N22" s="350"/>
      <c r="O22" s="350"/>
      <c r="P22" s="351"/>
      <c r="Q22" s="351"/>
      <c r="R22" s="351"/>
    </row>
    <row r="23" spans="2:18" x14ac:dyDescent="0.25">
      <c r="B23" s="23" t="s">
        <v>142</v>
      </c>
      <c r="C23" s="272"/>
      <c r="D23" s="272"/>
      <c r="E23" s="272"/>
      <c r="F23" s="273"/>
      <c r="G23" s="273"/>
      <c r="H23" s="273"/>
      <c r="I23" s="153">
        <f>CF!I45</f>
        <v>339</v>
      </c>
      <c r="J23" s="153">
        <f>CF!J45</f>
        <v>371</v>
      </c>
      <c r="K23" s="153">
        <f>CF!K45</f>
        <v>347</v>
      </c>
      <c r="L23" s="153">
        <f>CF!L45</f>
        <v>446</v>
      </c>
      <c r="M23" s="153">
        <f>CF!M45</f>
        <v>507</v>
      </c>
      <c r="N23" s="350"/>
      <c r="O23" s="350"/>
      <c r="P23" s="351"/>
      <c r="Q23" s="351"/>
      <c r="R23" s="351"/>
    </row>
    <row r="24" spans="2:18" x14ac:dyDescent="0.25">
      <c r="B24" s="23"/>
      <c r="C24" s="155"/>
      <c r="D24" s="155"/>
      <c r="E24" s="155"/>
      <c r="F24" s="271"/>
      <c r="G24" s="271"/>
      <c r="H24" s="271"/>
      <c r="I24" s="271"/>
      <c r="J24" s="271"/>
      <c r="K24" s="153"/>
      <c r="L24" s="153"/>
      <c r="M24" s="153"/>
      <c r="N24" s="153"/>
      <c r="O24" s="153"/>
    </row>
    <row r="25" spans="2:18" x14ac:dyDescent="0.25">
      <c r="B25" s="23" t="s">
        <v>225</v>
      </c>
      <c r="C25" s="155"/>
      <c r="D25" s="155"/>
      <c r="E25" s="155"/>
      <c r="F25" s="271"/>
      <c r="G25" s="282"/>
      <c r="H25" s="282"/>
      <c r="I25" s="282">
        <f>4.539/2.1</f>
        <v>2.161428571428571</v>
      </c>
      <c r="J25" s="284">
        <f>3.694/2.1</f>
        <v>1.759047619047619</v>
      </c>
      <c r="K25" s="284">
        <f>3.166/2.1</f>
        <v>1.5076190476190474</v>
      </c>
      <c r="L25" s="284">
        <f>2.945/2.1</f>
        <v>1.4023809523809523</v>
      </c>
      <c r="M25" s="284">
        <f>2.73/2.1</f>
        <v>1.3</v>
      </c>
      <c r="N25" s="284">
        <v>1.5</v>
      </c>
      <c r="O25" s="284">
        <v>1.5</v>
      </c>
      <c r="P25" s="284">
        <v>1.5</v>
      </c>
      <c r="Q25" s="284">
        <v>1.5</v>
      </c>
      <c r="R25" s="284">
        <v>1.5</v>
      </c>
    </row>
    <row r="26" spans="2:18" x14ac:dyDescent="0.25">
      <c r="B26" s="23"/>
      <c r="C26" s="155"/>
      <c r="D26" s="155"/>
      <c r="E26" s="155"/>
      <c r="F26" s="155"/>
      <c r="G26" s="155"/>
      <c r="H26" s="155"/>
      <c r="I26" s="155"/>
      <c r="J26" s="155"/>
      <c r="K26" s="155"/>
      <c r="L26" s="155"/>
      <c r="M26" s="153"/>
      <c r="N26" s="153"/>
    </row>
    <row r="27" spans="2:18" s="288" customFormat="1" hidden="1" x14ac:dyDescent="0.25">
      <c r="B27" s="285"/>
      <c r="C27" s="286"/>
      <c r="D27" s="286"/>
      <c r="E27" s="286"/>
      <c r="F27" s="286"/>
      <c r="G27" s="286"/>
      <c r="H27" s="286"/>
      <c r="I27" s="286"/>
      <c r="J27" s="286"/>
      <c r="K27" s="286"/>
      <c r="L27" s="286"/>
      <c r="M27" s="287"/>
      <c r="N27" s="287"/>
    </row>
    <row r="28" spans="2:18" s="288" customFormat="1" hidden="1" x14ac:dyDescent="0.25">
      <c r="B28" s="285"/>
      <c r="C28" s="286"/>
      <c r="D28" s="286"/>
      <c r="E28" s="286"/>
      <c r="F28" s="286"/>
      <c r="G28" s="286"/>
      <c r="H28" s="286"/>
      <c r="I28" s="286"/>
      <c r="J28" s="286"/>
      <c r="K28" s="286"/>
      <c r="L28" s="286"/>
      <c r="M28" s="287"/>
      <c r="N28" s="287"/>
    </row>
    <row r="29" spans="2:18" x14ac:dyDescent="0.25">
      <c r="B29" s="91" t="s">
        <v>152</v>
      </c>
      <c r="C29" s="155"/>
      <c r="D29" s="155"/>
      <c r="E29" s="155"/>
      <c r="F29" s="155"/>
      <c r="G29" s="155"/>
      <c r="H29" s="155"/>
      <c r="I29" s="155"/>
      <c r="J29" s="155"/>
      <c r="K29" s="155"/>
      <c r="L29" s="155"/>
      <c r="M29" s="153"/>
      <c r="N29" s="153"/>
    </row>
    <row r="30" spans="2:18" x14ac:dyDescent="0.25">
      <c r="B30" s="23" t="s">
        <v>153</v>
      </c>
      <c r="C30" s="269"/>
      <c r="D30" s="269"/>
      <c r="E30" s="269"/>
      <c r="F30" s="155"/>
      <c r="G30" s="262"/>
      <c r="H30" s="262"/>
      <c r="I30" s="262">
        <f>-CF!I43</f>
        <v>1382</v>
      </c>
      <c r="J30" s="262">
        <f>-CF!J43</f>
        <v>1446</v>
      </c>
      <c r="K30" s="262">
        <f>-CF!K43</f>
        <v>1493</v>
      </c>
      <c r="L30" s="262">
        <f>-CF!L43</f>
        <v>1508</v>
      </c>
      <c r="M30" s="262">
        <f>-CF!M43</f>
        <v>1529</v>
      </c>
      <c r="N30" s="262">
        <f ca="1">N31*N32</f>
        <v>1319.6437068770201</v>
      </c>
      <c r="O30" s="262">
        <f ca="1">O31*O32</f>
        <v>1365.2189679941519</v>
      </c>
      <c r="P30" s="262">
        <f ca="1">P31*P32</f>
        <v>1397.631181666259</v>
      </c>
      <c r="Q30" s="262">
        <f ca="1">Q31*Q32</f>
        <v>1428.8467124778781</v>
      </c>
      <c r="R30" s="262">
        <f ca="1">R31*R32</f>
        <v>1466.562521050811</v>
      </c>
    </row>
    <row r="31" spans="2:18" x14ac:dyDescent="0.25">
      <c r="B31" s="23" t="s">
        <v>139</v>
      </c>
      <c r="C31" s="152"/>
      <c r="D31" s="152"/>
      <c r="E31" s="152"/>
      <c r="F31" s="152"/>
      <c r="G31" s="152"/>
      <c r="H31" s="152"/>
      <c r="I31" s="152">
        <f>IS!I19</f>
        <v>2241</v>
      </c>
      <c r="J31" s="152">
        <f>IS!J19</f>
        <v>2180</v>
      </c>
      <c r="K31" s="152">
        <f>IS!K19</f>
        <v>1384</v>
      </c>
      <c r="L31" s="152">
        <f>IS!L19</f>
        <v>2441</v>
      </c>
      <c r="M31" s="152">
        <f>IS!M19</f>
        <v>2024</v>
      </c>
      <c r="N31" s="152">
        <f ca="1">IS!N19</f>
        <v>1885.2052955386002</v>
      </c>
      <c r="O31" s="152">
        <f ca="1">IS!O19</f>
        <v>1950.312811420217</v>
      </c>
      <c r="P31" s="152">
        <f ca="1">IS!P19</f>
        <v>1996.6159738089416</v>
      </c>
      <c r="Q31" s="152">
        <f ca="1">IS!Q19</f>
        <v>2041.2095892541117</v>
      </c>
      <c r="R31" s="152">
        <f ca="1">IS!R19</f>
        <v>2095.0893157868732</v>
      </c>
    </row>
    <row r="32" spans="2:18" x14ac:dyDescent="0.25">
      <c r="B32" s="23" t="s">
        <v>154</v>
      </c>
      <c r="C32" s="155"/>
      <c r="D32" s="155"/>
      <c r="E32" s="155"/>
      <c r="F32" s="274"/>
      <c r="G32" s="143"/>
      <c r="H32" s="143"/>
      <c r="I32" s="143">
        <f>I30/I31</f>
        <v>0.61668897813476131</v>
      </c>
      <c r="J32" s="143">
        <f>J30/J31</f>
        <v>0.66330275229357794</v>
      </c>
      <c r="K32" s="143">
        <f>K30/K31</f>
        <v>1.078757225433526</v>
      </c>
      <c r="L32" s="143">
        <f>L30/L31</f>
        <v>0.6177795985251946</v>
      </c>
      <c r="M32" s="143">
        <f>M30/M31</f>
        <v>0.75543478260869568</v>
      </c>
      <c r="N32" s="143">
        <v>0.7</v>
      </c>
      <c r="O32" s="143">
        <v>0.7</v>
      </c>
      <c r="P32" s="143">
        <v>0.7</v>
      </c>
      <c r="Q32" s="143">
        <v>0.7</v>
      </c>
      <c r="R32" s="143">
        <v>0.7</v>
      </c>
    </row>
    <row r="34" spans="2:5" x14ac:dyDescent="0.25">
      <c r="E34" t="s">
        <v>155</v>
      </c>
    </row>
    <row r="47" spans="2:5" x14ac:dyDescent="0.25">
      <c r="B47" s="220" t="s">
        <v>213</v>
      </c>
    </row>
    <row r="50" spans="2:4" x14ac:dyDescent="0.25">
      <c r="B50" s="174" t="s">
        <v>214</v>
      </c>
      <c r="C50" s="174" t="s">
        <v>215</v>
      </c>
      <c r="D50" s="175"/>
    </row>
    <row r="51" spans="2:4" x14ac:dyDescent="0.25">
      <c r="B51" s="174" t="s">
        <v>214</v>
      </c>
      <c r="C51" s="174" t="s">
        <v>216</v>
      </c>
      <c r="D51" s="174" t="s">
        <v>217</v>
      </c>
    </row>
    <row r="52" spans="2:4" x14ac:dyDescent="0.25">
      <c r="B52" s="174" t="s">
        <v>218</v>
      </c>
      <c r="C52" s="221">
        <v>989700934</v>
      </c>
      <c r="D52" s="221">
        <v>476005426</v>
      </c>
    </row>
    <row r="53" spans="2:4" x14ac:dyDescent="0.25">
      <c r="B53" s="175"/>
      <c r="C53" s="175"/>
      <c r="D53" s="175"/>
    </row>
    <row r="54" spans="2:4" x14ac:dyDescent="0.25">
      <c r="B54" s="174" t="s">
        <v>219</v>
      </c>
      <c r="C54" s="221">
        <v>-42641872</v>
      </c>
      <c r="D54" s="221">
        <v>42641872</v>
      </c>
    </row>
    <row r="55" spans="2:4" x14ac:dyDescent="0.25">
      <c r="B55" s="174" t="s">
        <v>220</v>
      </c>
      <c r="C55" s="221">
        <v>11517758</v>
      </c>
      <c r="D55" s="221">
        <v>-11517758</v>
      </c>
    </row>
    <row r="56" spans="2:4" x14ac:dyDescent="0.25">
      <c r="B56" s="174" t="s">
        <v>221</v>
      </c>
      <c r="C56" s="221">
        <v>1459330</v>
      </c>
      <c r="D56" s="221">
        <v>-1459330</v>
      </c>
    </row>
    <row r="57" spans="2:4" x14ac:dyDescent="0.25">
      <c r="B57" s="177" t="s">
        <v>222</v>
      </c>
      <c r="C57" s="222">
        <f>SUM(C52:C56)</f>
        <v>960036150</v>
      </c>
      <c r="D57" s="222">
        <f>SUM(D52:D56)</f>
        <v>505670210</v>
      </c>
    </row>
    <row r="58" spans="2:4" x14ac:dyDescent="0.25">
      <c r="B58" s="175"/>
      <c r="C58" s="175"/>
      <c r="D58" s="175"/>
    </row>
    <row r="59" spans="2:4" x14ac:dyDescent="0.25">
      <c r="B59" s="174" t="s">
        <v>219</v>
      </c>
      <c r="C59" s="221">
        <v>-38730602</v>
      </c>
      <c r="D59" s="221">
        <v>38730602</v>
      </c>
    </row>
    <row r="60" spans="2:4" x14ac:dyDescent="0.25">
      <c r="B60" s="174" t="s">
        <v>220</v>
      </c>
      <c r="C60" s="221">
        <v>12217230</v>
      </c>
      <c r="D60" s="221">
        <v>-12217230</v>
      </c>
    </row>
    <row r="61" spans="2:4" x14ac:dyDescent="0.25">
      <c r="B61" s="174" t="s">
        <v>221</v>
      </c>
      <c r="C61" s="221">
        <v>2205898</v>
      </c>
      <c r="D61" s="221">
        <v>-2205898</v>
      </c>
    </row>
    <row r="62" spans="2:4" x14ac:dyDescent="0.25">
      <c r="B62" s="177" t="s">
        <v>223</v>
      </c>
      <c r="C62" s="222">
        <f>SUM(C57:C61)</f>
        <v>935728676</v>
      </c>
      <c r="D62" s="222">
        <v>529977684</v>
      </c>
    </row>
    <row r="63" spans="2:4" x14ac:dyDescent="0.25">
      <c r="B63" s="175"/>
      <c r="C63" s="175"/>
      <c r="D63" s="175"/>
    </row>
    <row r="64" spans="2:4" x14ac:dyDescent="0.25">
      <c r="B64" s="174" t="s">
        <v>219</v>
      </c>
      <c r="C64" s="221">
        <v>-25573317</v>
      </c>
      <c r="D64" s="221">
        <v>25573317</v>
      </c>
    </row>
    <row r="65" spans="2:4" x14ac:dyDescent="0.25">
      <c r="B65" s="174" t="s">
        <v>220</v>
      </c>
      <c r="C65" s="221">
        <v>7883834</v>
      </c>
      <c r="D65" s="221">
        <v>-7883834</v>
      </c>
    </row>
    <row r="66" spans="2:4" x14ac:dyDescent="0.25">
      <c r="B66" s="174" t="s">
        <v>221</v>
      </c>
      <c r="C66" s="221">
        <v>1907382</v>
      </c>
      <c r="D66" s="221">
        <v>-1907382</v>
      </c>
    </row>
    <row r="67" spans="2:4" x14ac:dyDescent="0.25">
      <c r="B67" s="177" t="s">
        <v>224</v>
      </c>
      <c r="C67" s="222">
        <f>SUM(C62:C66)</f>
        <v>919946575</v>
      </c>
      <c r="D67" s="222">
        <v>545759785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4"/>
  <sheetViews>
    <sheetView zoomScale="115" zoomScaleNormal="115" workbookViewId="0">
      <selection activeCell="P15" sqref="P15"/>
    </sheetView>
  </sheetViews>
  <sheetFormatPr defaultRowHeight="15" x14ac:dyDescent="0.25"/>
  <cols>
    <col min="1" max="1" width="3" style="90" customWidth="1"/>
    <col min="2" max="2" width="41.28515625" style="90" customWidth="1"/>
    <col min="3" max="5" width="0" style="90" hidden="1" customWidth="1"/>
    <col min="6" max="6" width="9.28515625" style="90" hidden="1" customWidth="1"/>
    <col min="7" max="8" width="10" style="90" hidden="1" customWidth="1"/>
    <col min="9" max="10" width="10" style="90" bestFit="1" customWidth="1"/>
    <col min="11" max="257" width="9.140625" style="90"/>
    <col min="258" max="258" width="37.5703125" style="90" customWidth="1"/>
    <col min="259" max="513" width="9.140625" style="90"/>
    <col min="514" max="514" width="37.5703125" style="90" customWidth="1"/>
    <col min="515" max="769" width="9.140625" style="90"/>
    <col min="770" max="770" width="37.5703125" style="90" customWidth="1"/>
    <col min="771" max="1025" width="9.140625" style="90"/>
    <col min="1026" max="1026" width="37.5703125" style="90" customWidth="1"/>
    <col min="1027" max="1281" width="9.140625" style="90"/>
    <col min="1282" max="1282" width="37.5703125" style="90" customWidth="1"/>
    <col min="1283" max="1537" width="9.140625" style="90"/>
    <col min="1538" max="1538" width="37.5703125" style="90" customWidth="1"/>
    <col min="1539" max="1793" width="9.140625" style="90"/>
    <col min="1794" max="1794" width="37.5703125" style="90" customWidth="1"/>
    <col min="1795" max="2049" width="9.140625" style="90"/>
    <col min="2050" max="2050" width="37.5703125" style="90" customWidth="1"/>
    <col min="2051" max="2305" width="9.140625" style="90"/>
    <col min="2306" max="2306" width="37.5703125" style="90" customWidth="1"/>
    <col min="2307" max="2561" width="9.140625" style="90"/>
    <col min="2562" max="2562" width="37.5703125" style="90" customWidth="1"/>
    <col min="2563" max="2817" width="9.140625" style="90"/>
    <col min="2818" max="2818" width="37.5703125" style="90" customWidth="1"/>
    <col min="2819" max="3073" width="9.140625" style="90"/>
    <col min="3074" max="3074" width="37.5703125" style="90" customWidth="1"/>
    <col min="3075" max="3329" width="9.140625" style="90"/>
    <col min="3330" max="3330" width="37.5703125" style="90" customWidth="1"/>
    <col min="3331" max="3585" width="9.140625" style="90"/>
    <col min="3586" max="3586" width="37.5703125" style="90" customWidth="1"/>
    <col min="3587" max="3841" width="9.140625" style="90"/>
    <col min="3842" max="3842" width="37.5703125" style="90" customWidth="1"/>
    <col min="3843" max="4097" width="9.140625" style="90"/>
    <col min="4098" max="4098" width="37.5703125" style="90" customWidth="1"/>
    <col min="4099" max="4353" width="9.140625" style="90"/>
    <col min="4354" max="4354" width="37.5703125" style="90" customWidth="1"/>
    <col min="4355" max="4609" width="9.140625" style="90"/>
    <col min="4610" max="4610" width="37.5703125" style="90" customWidth="1"/>
    <col min="4611" max="4865" width="9.140625" style="90"/>
    <col min="4866" max="4866" width="37.5703125" style="90" customWidth="1"/>
    <col min="4867" max="5121" width="9.140625" style="90"/>
    <col min="5122" max="5122" width="37.5703125" style="90" customWidth="1"/>
    <col min="5123" max="5377" width="9.140625" style="90"/>
    <col min="5378" max="5378" width="37.5703125" style="90" customWidth="1"/>
    <col min="5379" max="5633" width="9.140625" style="90"/>
    <col min="5634" max="5634" width="37.5703125" style="90" customWidth="1"/>
    <col min="5635" max="5889" width="9.140625" style="90"/>
    <col min="5890" max="5890" width="37.5703125" style="90" customWidth="1"/>
    <col min="5891" max="6145" width="9.140625" style="90"/>
    <col min="6146" max="6146" width="37.5703125" style="90" customWidth="1"/>
    <col min="6147" max="6401" width="9.140625" style="90"/>
    <col min="6402" max="6402" width="37.5703125" style="90" customWidth="1"/>
    <col min="6403" max="6657" width="9.140625" style="90"/>
    <col min="6658" max="6658" width="37.5703125" style="90" customWidth="1"/>
    <col min="6659" max="6913" width="9.140625" style="90"/>
    <col min="6914" max="6914" width="37.5703125" style="90" customWidth="1"/>
    <col min="6915" max="7169" width="9.140625" style="90"/>
    <col min="7170" max="7170" width="37.5703125" style="90" customWidth="1"/>
    <col min="7171" max="7425" width="9.140625" style="90"/>
    <col min="7426" max="7426" width="37.5703125" style="90" customWidth="1"/>
    <col min="7427" max="7681" width="9.140625" style="90"/>
    <col min="7682" max="7682" width="37.5703125" style="90" customWidth="1"/>
    <col min="7683" max="7937" width="9.140625" style="90"/>
    <col min="7938" max="7938" width="37.5703125" style="90" customWidth="1"/>
    <col min="7939" max="8193" width="9.140625" style="90"/>
    <col min="8194" max="8194" width="37.5703125" style="90" customWidth="1"/>
    <col min="8195" max="8449" width="9.140625" style="90"/>
    <col min="8450" max="8450" width="37.5703125" style="90" customWidth="1"/>
    <col min="8451" max="8705" width="9.140625" style="90"/>
    <col min="8706" max="8706" width="37.5703125" style="90" customWidth="1"/>
    <col min="8707" max="8961" width="9.140625" style="90"/>
    <col min="8962" max="8962" width="37.5703125" style="90" customWidth="1"/>
    <col min="8963" max="9217" width="9.140625" style="90"/>
    <col min="9218" max="9218" width="37.5703125" style="90" customWidth="1"/>
    <col min="9219" max="9473" width="9.140625" style="90"/>
    <col min="9474" max="9474" width="37.5703125" style="90" customWidth="1"/>
    <col min="9475" max="9729" width="9.140625" style="90"/>
    <col min="9730" max="9730" width="37.5703125" style="90" customWidth="1"/>
    <col min="9731" max="9985" width="9.140625" style="90"/>
    <col min="9986" max="9986" width="37.5703125" style="90" customWidth="1"/>
    <col min="9987" max="10241" width="9.140625" style="90"/>
    <col min="10242" max="10242" width="37.5703125" style="90" customWidth="1"/>
    <col min="10243" max="10497" width="9.140625" style="90"/>
    <col min="10498" max="10498" width="37.5703125" style="90" customWidth="1"/>
    <col min="10499" max="10753" width="9.140625" style="90"/>
    <col min="10754" max="10754" width="37.5703125" style="90" customWidth="1"/>
    <col min="10755" max="11009" width="9.140625" style="90"/>
    <col min="11010" max="11010" width="37.5703125" style="90" customWidth="1"/>
    <col min="11011" max="11265" width="9.140625" style="90"/>
    <col min="11266" max="11266" width="37.5703125" style="90" customWidth="1"/>
    <col min="11267" max="11521" width="9.140625" style="90"/>
    <col min="11522" max="11522" width="37.5703125" style="90" customWidth="1"/>
    <col min="11523" max="11777" width="9.140625" style="90"/>
    <col min="11778" max="11778" width="37.5703125" style="90" customWidth="1"/>
    <col min="11779" max="12033" width="9.140625" style="90"/>
    <col min="12034" max="12034" width="37.5703125" style="90" customWidth="1"/>
    <col min="12035" max="12289" width="9.140625" style="90"/>
    <col min="12290" max="12290" width="37.5703125" style="90" customWidth="1"/>
    <col min="12291" max="12545" width="9.140625" style="90"/>
    <col min="12546" max="12546" width="37.5703125" style="90" customWidth="1"/>
    <col min="12547" max="12801" width="9.140625" style="90"/>
    <col min="12802" max="12802" width="37.5703125" style="90" customWidth="1"/>
    <col min="12803" max="13057" width="9.140625" style="90"/>
    <col min="13058" max="13058" width="37.5703125" style="90" customWidth="1"/>
    <col min="13059" max="13313" width="9.140625" style="90"/>
    <col min="13314" max="13314" width="37.5703125" style="90" customWidth="1"/>
    <col min="13315" max="13569" width="9.140625" style="90"/>
    <col min="13570" max="13570" width="37.5703125" style="90" customWidth="1"/>
    <col min="13571" max="13825" width="9.140625" style="90"/>
    <col min="13826" max="13826" width="37.5703125" style="90" customWidth="1"/>
    <col min="13827" max="14081" width="9.140625" style="90"/>
    <col min="14082" max="14082" width="37.5703125" style="90" customWidth="1"/>
    <col min="14083" max="14337" width="9.140625" style="90"/>
    <col min="14338" max="14338" width="37.5703125" style="90" customWidth="1"/>
    <col min="14339" max="14593" width="9.140625" style="90"/>
    <col min="14594" max="14594" width="37.5703125" style="90" customWidth="1"/>
    <col min="14595" max="14849" width="9.140625" style="90"/>
    <col min="14850" max="14850" width="37.5703125" style="90" customWidth="1"/>
    <col min="14851" max="15105" width="9.140625" style="90"/>
    <col min="15106" max="15106" width="37.5703125" style="90" customWidth="1"/>
    <col min="15107" max="15361" width="9.140625" style="90"/>
    <col min="15362" max="15362" width="37.5703125" style="90" customWidth="1"/>
    <col min="15363" max="15617" width="9.140625" style="90"/>
    <col min="15618" max="15618" width="37.5703125" style="90" customWidth="1"/>
    <col min="15619" max="15873" width="9.140625" style="90"/>
    <col min="15874" max="15874" width="37.5703125" style="90" customWidth="1"/>
    <col min="15875" max="16129" width="9.140625" style="90"/>
    <col min="16130" max="16130" width="37.5703125" style="90" customWidth="1"/>
    <col min="16131" max="16384" width="9.140625" style="90"/>
  </cols>
  <sheetData>
    <row r="1" spans="1:18" s="55" customFormat="1" ht="23.25" x14ac:dyDescent="0.35">
      <c r="A1" s="22" t="str">
        <f>IS!A1</f>
        <v>Colgate-Palmolive Company</v>
      </c>
      <c r="F1" s="57"/>
      <c r="G1" s="57"/>
      <c r="H1" s="56"/>
    </row>
    <row r="2" spans="1:18" s="23" customFormat="1" ht="14.25" x14ac:dyDescent="0.2"/>
    <row r="3" spans="1:18" s="23" customFormat="1" ht="20.25" x14ac:dyDescent="0.3">
      <c r="A3" s="1" t="s">
        <v>194</v>
      </c>
    </row>
    <row r="4" spans="1:18" s="23" customFormat="1" ht="14.25" x14ac:dyDescent="0.2"/>
    <row r="5" spans="1:18" s="55" customFormat="1" ht="15.75" thickBot="1" x14ac:dyDescent="0.3">
      <c r="B5" s="62"/>
      <c r="C5" s="61">
        <f>BS!C5</f>
        <v>39447</v>
      </c>
      <c r="D5" s="61">
        <f>BS!D5</f>
        <v>39813</v>
      </c>
      <c r="E5" s="61">
        <f>BS!E5</f>
        <v>40178</v>
      </c>
      <c r="F5" s="61">
        <f>BS!F5</f>
        <v>40543</v>
      </c>
      <c r="G5" s="61">
        <f>BS!G5</f>
        <v>40908</v>
      </c>
      <c r="H5" s="61">
        <f>BS!H5</f>
        <v>41274</v>
      </c>
      <c r="I5" s="61">
        <f>BS!I5</f>
        <v>41639</v>
      </c>
      <c r="J5" s="61">
        <f>BS!J5</f>
        <v>42004</v>
      </c>
      <c r="K5" s="61">
        <f>BS!K5</f>
        <v>42369</v>
      </c>
      <c r="L5" s="61">
        <f>BS!L5</f>
        <v>42735</v>
      </c>
      <c r="M5" s="61">
        <f>BS!M5</f>
        <v>43100</v>
      </c>
      <c r="N5" s="335">
        <f>BS!N5</f>
        <v>43465</v>
      </c>
      <c r="O5" s="335">
        <f>BS!O5</f>
        <v>43830</v>
      </c>
      <c r="P5" s="335">
        <f>BS!P5</f>
        <v>44196</v>
      </c>
      <c r="Q5" s="335">
        <f>BS!Q5</f>
        <v>44561</v>
      </c>
      <c r="R5" s="335">
        <f>BS!R5</f>
        <v>44926</v>
      </c>
    </row>
    <row r="6" spans="1:18" x14ac:dyDescent="0.25">
      <c r="B6" s="23" t="s">
        <v>156</v>
      </c>
      <c r="C6" s="170"/>
      <c r="D6" s="134"/>
      <c r="E6" s="134"/>
      <c r="F6" s="289"/>
      <c r="G6" s="224"/>
      <c r="H6" s="224"/>
      <c r="I6" s="224"/>
      <c r="J6" s="224">
        <f>'Shareholders Equity'!I11</f>
        <v>2536</v>
      </c>
      <c r="K6" s="224">
        <f>'Shareholders Equity'!J11</f>
        <v>1385</v>
      </c>
      <c r="L6" s="224">
        <f>'Shareholders Equity'!K11</f>
        <v>-44</v>
      </c>
      <c r="M6" s="224">
        <f>'Shareholders Equity'!L11</f>
        <v>17</v>
      </c>
      <c r="N6" s="224">
        <f>'Shareholders Equity'!N6</f>
        <v>243</v>
      </c>
      <c r="O6" s="224">
        <f ca="1">'Shareholders Equity'!O6</f>
        <v>-34.438411338419883</v>
      </c>
      <c r="P6" s="224">
        <f ca="1">'Shareholders Equity'!P6</f>
        <v>-292.34456791235471</v>
      </c>
      <c r="Q6" s="224">
        <f ca="1">'Shareholders Equity'!Q6</f>
        <v>-536.35977576967207</v>
      </c>
      <c r="R6" s="224">
        <f ca="1">'Shareholders Equity'!R6</f>
        <v>-766.99689899343844</v>
      </c>
    </row>
    <row r="7" spans="1:18" x14ac:dyDescent="0.25">
      <c r="B7" s="23" t="s">
        <v>227</v>
      </c>
      <c r="C7" s="223"/>
      <c r="D7" s="243"/>
      <c r="E7" s="243"/>
      <c r="F7" s="290"/>
      <c r="G7" s="292"/>
      <c r="H7" s="291"/>
      <c r="I7" s="292"/>
      <c r="J7" s="242"/>
      <c r="K7" s="242">
        <f>'Shareholders Equity'!K21+'Shareholders Equity'!K25</f>
        <v>8.8976190476190471</v>
      </c>
      <c r="L7" s="242">
        <f>'Shareholders Equity'!L21+'Shareholders Equity'!L25</f>
        <v>9.9323809523809512</v>
      </c>
      <c r="M7" s="242">
        <f>'Shareholders Equity'!M21+'Shareholders Equity'!M25</f>
        <v>10.97</v>
      </c>
      <c r="N7" s="242"/>
      <c r="O7" s="242"/>
      <c r="P7" s="242"/>
      <c r="Q7" s="242"/>
      <c r="R7" s="242"/>
    </row>
    <row r="8" spans="1:18" x14ac:dyDescent="0.25">
      <c r="B8" s="23" t="s">
        <v>157</v>
      </c>
      <c r="C8" s="170"/>
      <c r="D8" s="134"/>
      <c r="E8" s="134"/>
      <c r="F8" s="289"/>
      <c r="G8" s="292"/>
      <c r="H8" s="292"/>
      <c r="I8" s="292"/>
      <c r="J8" s="244"/>
      <c r="K8" s="244">
        <f>-'Shareholders Equity'!K17</f>
        <v>-22.8</v>
      </c>
      <c r="L8" s="244">
        <f>-'Shareholders Equity'!L17</f>
        <v>-19.3</v>
      </c>
      <c r="M8" s="244">
        <f>-'Shareholders Equity'!M17</f>
        <v>-19.2</v>
      </c>
      <c r="N8" s="244">
        <f ca="1">-'Shareholders Equity'!N17</f>
        <v>-19.265324044570225</v>
      </c>
      <c r="O8" s="244">
        <f ca="1">-'Shareholders Equity'!O17</f>
        <v>-18.622187526237582</v>
      </c>
      <c r="P8" s="244">
        <f ca="1">-'Shareholders Equity'!P17</f>
        <v>-18.19032372049244</v>
      </c>
      <c r="Q8" s="244">
        <f ca="1">-'Shareholders Equity'!Q17</f>
        <v>-17.792925871155855</v>
      </c>
      <c r="R8" s="244">
        <f ca="1">-'Shareholders Equity'!R17</f>
        <v>-17.335342524741094</v>
      </c>
    </row>
    <row r="9" spans="1:18" x14ac:dyDescent="0.25">
      <c r="B9" s="293" t="s">
        <v>158</v>
      </c>
      <c r="C9" s="294"/>
      <c r="D9" s="295"/>
      <c r="E9" s="295"/>
      <c r="F9" s="296"/>
      <c r="G9" s="296"/>
      <c r="H9" s="296"/>
      <c r="I9" s="296"/>
      <c r="J9" s="296"/>
      <c r="K9" s="296">
        <f>SUM(K6:K8)</f>
        <v>1371.097619047619</v>
      </c>
      <c r="L9" s="296">
        <f t="shared" ref="L9:R9" si="0">SUM(L6:L8)</f>
        <v>-53.367619047619044</v>
      </c>
      <c r="M9" s="296">
        <f t="shared" si="0"/>
        <v>8.77</v>
      </c>
      <c r="N9" s="296">
        <f t="shared" ca="1" si="0"/>
        <v>223.73467595542976</v>
      </c>
      <c r="O9" s="296">
        <f t="shared" ca="1" si="0"/>
        <v>-53.060598864657464</v>
      </c>
      <c r="P9" s="296">
        <f t="shared" ca="1" si="0"/>
        <v>-310.53489163284712</v>
      </c>
      <c r="Q9" s="296">
        <f t="shared" ca="1" si="0"/>
        <v>-554.1527016408279</v>
      </c>
      <c r="R9" s="296">
        <f t="shared" ca="1" si="0"/>
        <v>-784.33224151817956</v>
      </c>
    </row>
    <row r="10" spans="1:18" x14ac:dyDescent="0.25">
      <c r="B10" s="23"/>
      <c r="C10" s="95"/>
      <c r="D10" s="134"/>
      <c r="E10" s="134"/>
      <c r="F10" s="95"/>
      <c r="G10" s="95"/>
      <c r="H10" s="95"/>
      <c r="I10" s="95"/>
      <c r="J10" s="134"/>
      <c r="K10" s="134"/>
      <c r="L10" s="134"/>
      <c r="M10" s="134"/>
      <c r="N10" s="134"/>
      <c r="O10" s="134"/>
      <c r="P10" s="134"/>
      <c r="Q10" s="134"/>
      <c r="R10" s="134"/>
    </row>
    <row r="11" spans="1:18" x14ac:dyDescent="0.25">
      <c r="B11" s="23" t="s">
        <v>159</v>
      </c>
      <c r="C11" s="140"/>
      <c r="D11" s="245"/>
      <c r="E11" s="245"/>
      <c r="F11" s="140"/>
      <c r="G11" s="262"/>
      <c r="H11" s="262"/>
      <c r="I11" s="262">
        <f>IS!I23</f>
        <v>930.8</v>
      </c>
      <c r="J11" s="262">
        <f>IS!J23</f>
        <v>915.1</v>
      </c>
      <c r="K11" s="262">
        <f>IS!K23</f>
        <v>902.2</v>
      </c>
      <c r="L11" s="262">
        <f>AVERAGE(K9:L9)</f>
        <v>658.86500000000001</v>
      </c>
      <c r="M11" s="262">
        <f t="shared" ref="M11:R11" si="1">AVERAGE(L9:M9)</f>
        <v>-22.298809523809524</v>
      </c>
      <c r="N11" s="262">
        <f t="shared" ca="1" si="1"/>
        <v>116.25233797771489</v>
      </c>
      <c r="O11" s="262">
        <f t="shared" ca="1" si="1"/>
        <v>85.33703854538615</v>
      </c>
      <c r="P11" s="262">
        <f t="shared" ca="1" si="1"/>
        <v>-181.79774524875228</v>
      </c>
      <c r="Q11" s="262">
        <f t="shared" ca="1" si="1"/>
        <v>-432.34379663683751</v>
      </c>
      <c r="R11" s="262">
        <f t="shared" ca="1" si="1"/>
        <v>-669.24247157950367</v>
      </c>
    </row>
    <row r="12" spans="1:18" x14ac:dyDescent="0.25">
      <c r="B12" s="23" t="s">
        <v>226</v>
      </c>
      <c r="C12" s="136"/>
      <c r="D12" s="246"/>
      <c r="E12" s="246"/>
      <c r="F12" s="136"/>
      <c r="G12" s="262"/>
      <c r="H12" s="262"/>
      <c r="I12" s="262">
        <f>'Shareholders Equity'!I25</f>
        <v>2.161428571428571</v>
      </c>
      <c r="J12" s="262">
        <f>'Shareholders Equity'!J25</f>
        <v>1.759047619047619</v>
      </c>
      <c r="K12" s="262">
        <f>'Shareholders Equity'!K25</f>
        <v>1.5076190476190474</v>
      </c>
      <c r="L12" s="262">
        <f>'Shareholders Equity'!L25</f>
        <v>1.4023809523809523</v>
      </c>
      <c r="M12" s="262">
        <f>'Shareholders Equity'!M25</f>
        <v>1.3</v>
      </c>
      <c r="N12" s="262">
        <f>'Shareholders Equity'!N25</f>
        <v>1.5</v>
      </c>
      <c r="O12" s="262">
        <f>'Shareholders Equity'!O25</f>
        <v>1.5</v>
      </c>
      <c r="P12" s="262">
        <f>'Shareholders Equity'!P25</f>
        <v>1.5</v>
      </c>
      <c r="Q12" s="262">
        <f>'Shareholders Equity'!Q25</f>
        <v>1.5</v>
      </c>
      <c r="R12" s="262">
        <f>'Shareholders Equity'!R25</f>
        <v>1.5</v>
      </c>
    </row>
    <row r="13" spans="1:18" ht="15.75" thickBot="1" x14ac:dyDescent="0.3">
      <c r="B13" s="106" t="s">
        <v>160</v>
      </c>
      <c r="C13" s="297"/>
      <c r="D13" s="298"/>
      <c r="E13" s="298"/>
      <c r="F13" s="297"/>
      <c r="G13" s="299"/>
      <c r="H13" s="297"/>
      <c r="I13" s="297">
        <f>SUM(I11:I12)</f>
        <v>932.96142857142854</v>
      </c>
      <c r="J13" s="297">
        <f t="shared" ref="J13:R13" si="2">SUM(J11:J12)</f>
        <v>916.8590476190476</v>
      </c>
      <c r="K13" s="297">
        <f t="shared" si="2"/>
        <v>903.70761904761912</v>
      </c>
      <c r="L13" s="297">
        <f t="shared" si="2"/>
        <v>660.26738095238102</v>
      </c>
      <c r="M13" s="297">
        <f t="shared" si="2"/>
        <v>-20.998809523809523</v>
      </c>
      <c r="N13" s="297">
        <f t="shared" ca="1" si="2"/>
        <v>117.75233797771489</v>
      </c>
      <c r="O13" s="297">
        <f t="shared" ca="1" si="2"/>
        <v>86.83703854538615</v>
      </c>
      <c r="P13" s="297">
        <f t="shared" ca="1" si="2"/>
        <v>-180.29774524875228</v>
      </c>
      <c r="Q13" s="297">
        <f t="shared" ca="1" si="2"/>
        <v>-430.84379663683751</v>
      </c>
      <c r="R13" s="297">
        <f t="shared" ca="1" si="2"/>
        <v>-667.74247157950367</v>
      </c>
    </row>
    <row r="14" spans="1:18" ht="15.75" thickTop="1" x14ac:dyDescent="0.25"/>
  </sheetData>
  <pageMargins left="0.7" right="0.7" top="0.75" bottom="0.75" header="0.3" footer="0.3"/>
  <pageSetup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47"/>
  <sheetViews>
    <sheetView topLeftCell="A3" zoomScale="90" zoomScaleNormal="90" workbookViewId="0">
      <pane xSplit="2" ySplit="3" topLeftCell="H6" activePane="bottomRight" state="frozen"/>
      <selection activeCell="A3" sqref="A3"/>
      <selection pane="topRight" activeCell="C3" sqref="C3"/>
      <selection pane="bottomLeft" activeCell="A6" sqref="A6"/>
      <selection pane="bottomRight" activeCell="J20" sqref="J20"/>
    </sheetView>
  </sheetViews>
  <sheetFormatPr defaultRowHeight="15" x14ac:dyDescent="0.25"/>
  <cols>
    <col min="1" max="1" width="22.42578125" style="90" customWidth="1"/>
    <col min="2" max="2" width="58" style="90" bestFit="1" customWidth="1"/>
    <col min="3" max="3" width="19" style="90" hidden="1" customWidth="1"/>
    <col min="4" max="4" width="9.85546875" style="90" hidden="1" customWidth="1"/>
    <col min="5" max="5" width="10.28515625" style="90" hidden="1" customWidth="1"/>
    <col min="6" max="12" width="10.28515625" style="90" bestFit="1" customWidth="1"/>
    <col min="13" max="13" width="10.85546875" style="90" bestFit="1" customWidth="1"/>
    <col min="14" max="14" width="10.28515625" style="90" bestFit="1" customWidth="1"/>
    <col min="15" max="15" width="10.85546875" style="90" bestFit="1" customWidth="1"/>
    <col min="16" max="16" width="10.5703125" style="90" bestFit="1" customWidth="1"/>
    <col min="17" max="254" width="9.140625" style="90"/>
    <col min="255" max="255" width="41.28515625" style="90" bestFit="1" customWidth="1"/>
    <col min="256" max="257" width="9.140625" style="90"/>
    <col min="258" max="258" width="7.7109375" style="90" bestFit="1" customWidth="1"/>
    <col min="259" max="259" width="13.140625" style="90" customWidth="1"/>
    <col min="260" max="510" width="9.140625" style="90"/>
    <col min="511" max="511" width="41.28515625" style="90" bestFit="1" customWidth="1"/>
    <col min="512" max="513" width="9.140625" style="90"/>
    <col min="514" max="514" width="7.7109375" style="90" bestFit="1" customWidth="1"/>
    <col min="515" max="515" width="13.140625" style="90" customWidth="1"/>
    <col min="516" max="766" width="9.140625" style="90"/>
    <col min="767" max="767" width="41.28515625" style="90" bestFit="1" customWidth="1"/>
    <col min="768" max="769" width="9.140625" style="90"/>
    <col min="770" max="770" width="7.7109375" style="90" bestFit="1" customWidth="1"/>
    <col min="771" max="771" width="13.140625" style="90" customWidth="1"/>
    <col min="772" max="1022" width="9.140625" style="90"/>
    <col min="1023" max="1023" width="41.28515625" style="90" bestFit="1" customWidth="1"/>
    <col min="1024" max="1025" width="9.140625" style="90"/>
    <col min="1026" max="1026" width="7.7109375" style="90" bestFit="1" customWidth="1"/>
    <col min="1027" max="1027" width="13.140625" style="90" customWidth="1"/>
    <col min="1028" max="1278" width="9.140625" style="90"/>
    <col min="1279" max="1279" width="41.28515625" style="90" bestFit="1" customWidth="1"/>
    <col min="1280" max="1281" width="9.140625" style="90"/>
    <col min="1282" max="1282" width="7.7109375" style="90" bestFit="1" customWidth="1"/>
    <col min="1283" max="1283" width="13.140625" style="90" customWidth="1"/>
    <col min="1284" max="1534" width="9.140625" style="90"/>
    <col min="1535" max="1535" width="41.28515625" style="90" bestFit="1" customWidth="1"/>
    <col min="1536" max="1537" width="9.140625" style="90"/>
    <col min="1538" max="1538" width="7.7109375" style="90" bestFit="1" customWidth="1"/>
    <col min="1539" max="1539" width="13.140625" style="90" customWidth="1"/>
    <col min="1540" max="1790" width="9.140625" style="90"/>
    <col min="1791" max="1791" width="41.28515625" style="90" bestFit="1" customWidth="1"/>
    <col min="1792" max="1793" width="9.140625" style="90"/>
    <col min="1794" max="1794" width="7.7109375" style="90" bestFit="1" customWidth="1"/>
    <col min="1795" max="1795" width="13.140625" style="90" customWidth="1"/>
    <col min="1796" max="2046" width="9.140625" style="90"/>
    <col min="2047" max="2047" width="41.28515625" style="90" bestFit="1" customWidth="1"/>
    <col min="2048" max="2049" width="9.140625" style="90"/>
    <col min="2050" max="2050" width="7.7109375" style="90" bestFit="1" customWidth="1"/>
    <col min="2051" max="2051" width="13.140625" style="90" customWidth="1"/>
    <col min="2052" max="2302" width="9.140625" style="90"/>
    <col min="2303" max="2303" width="41.28515625" style="90" bestFit="1" customWidth="1"/>
    <col min="2304" max="2305" width="9.140625" style="90"/>
    <col min="2306" max="2306" width="7.7109375" style="90" bestFit="1" customWidth="1"/>
    <col min="2307" max="2307" width="13.140625" style="90" customWidth="1"/>
    <col min="2308" max="2558" width="9.140625" style="90"/>
    <col min="2559" max="2559" width="41.28515625" style="90" bestFit="1" customWidth="1"/>
    <col min="2560" max="2561" width="9.140625" style="90"/>
    <col min="2562" max="2562" width="7.7109375" style="90" bestFit="1" customWidth="1"/>
    <col min="2563" max="2563" width="13.140625" style="90" customWidth="1"/>
    <col min="2564" max="2814" width="9.140625" style="90"/>
    <col min="2815" max="2815" width="41.28515625" style="90" bestFit="1" customWidth="1"/>
    <col min="2816" max="2817" width="9.140625" style="90"/>
    <col min="2818" max="2818" width="7.7109375" style="90" bestFit="1" customWidth="1"/>
    <col min="2819" max="2819" width="13.140625" style="90" customWidth="1"/>
    <col min="2820" max="3070" width="9.140625" style="90"/>
    <col min="3071" max="3071" width="41.28515625" style="90" bestFit="1" customWidth="1"/>
    <col min="3072" max="3073" width="9.140625" style="90"/>
    <col min="3074" max="3074" width="7.7109375" style="90" bestFit="1" customWidth="1"/>
    <col min="3075" max="3075" width="13.140625" style="90" customWidth="1"/>
    <col min="3076" max="3326" width="9.140625" style="90"/>
    <col min="3327" max="3327" width="41.28515625" style="90" bestFit="1" customWidth="1"/>
    <col min="3328" max="3329" width="9.140625" style="90"/>
    <col min="3330" max="3330" width="7.7109375" style="90" bestFit="1" customWidth="1"/>
    <col min="3331" max="3331" width="13.140625" style="90" customWidth="1"/>
    <col min="3332" max="3582" width="9.140625" style="90"/>
    <col min="3583" max="3583" width="41.28515625" style="90" bestFit="1" customWidth="1"/>
    <col min="3584" max="3585" width="9.140625" style="90"/>
    <col min="3586" max="3586" width="7.7109375" style="90" bestFit="1" customWidth="1"/>
    <col min="3587" max="3587" width="13.140625" style="90" customWidth="1"/>
    <col min="3588" max="3838" width="9.140625" style="90"/>
    <col min="3839" max="3839" width="41.28515625" style="90" bestFit="1" customWidth="1"/>
    <col min="3840" max="3841" width="9.140625" style="90"/>
    <col min="3842" max="3842" width="7.7109375" style="90" bestFit="1" customWidth="1"/>
    <col min="3843" max="3843" width="13.140625" style="90" customWidth="1"/>
    <col min="3844" max="4094" width="9.140625" style="90"/>
    <col min="4095" max="4095" width="41.28515625" style="90" bestFit="1" customWidth="1"/>
    <col min="4096" max="4097" width="9.140625" style="90"/>
    <col min="4098" max="4098" width="7.7109375" style="90" bestFit="1" customWidth="1"/>
    <col min="4099" max="4099" width="13.140625" style="90" customWidth="1"/>
    <col min="4100" max="4350" width="9.140625" style="90"/>
    <col min="4351" max="4351" width="41.28515625" style="90" bestFit="1" customWidth="1"/>
    <col min="4352" max="4353" width="9.140625" style="90"/>
    <col min="4354" max="4354" width="7.7109375" style="90" bestFit="1" customWidth="1"/>
    <col min="4355" max="4355" width="13.140625" style="90" customWidth="1"/>
    <col min="4356" max="4606" width="9.140625" style="90"/>
    <col min="4607" max="4607" width="41.28515625" style="90" bestFit="1" customWidth="1"/>
    <col min="4608" max="4609" width="9.140625" style="90"/>
    <col min="4610" max="4610" width="7.7109375" style="90" bestFit="1" customWidth="1"/>
    <col min="4611" max="4611" width="13.140625" style="90" customWidth="1"/>
    <col min="4612" max="4862" width="9.140625" style="90"/>
    <col min="4863" max="4863" width="41.28515625" style="90" bestFit="1" customWidth="1"/>
    <col min="4864" max="4865" width="9.140625" style="90"/>
    <col min="4866" max="4866" width="7.7109375" style="90" bestFit="1" customWidth="1"/>
    <col min="4867" max="4867" width="13.140625" style="90" customWidth="1"/>
    <col min="4868" max="5118" width="9.140625" style="90"/>
    <col min="5119" max="5119" width="41.28515625" style="90" bestFit="1" customWidth="1"/>
    <col min="5120" max="5121" width="9.140625" style="90"/>
    <col min="5122" max="5122" width="7.7109375" style="90" bestFit="1" customWidth="1"/>
    <col min="5123" max="5123" width="13.140625" style="90" customWidth="1"/>
    <col min="5124" max="5374" width="9.140625" style="90"/>
    <col min="5375" max="5375" width="41.28515625" style="90" bestFit="1" customWidth="1"/>
    <col min="5376" max="5377" width="9.140625" style="90"/>
    <col min="5378" max="5378" width="7.7109375" style="90" bestFit="1" customWidth="1"/>
    <col min="5379" max="5379" width="13.140625" style="90" customWidth="1"/>
    <col min="5380" max="5630" width="9.140625" style="90"/>
    <col min="5631" max="5631" width="41.28515625" style="90" bestFit="1" customWidth="1"/>
    <col min="5632" max="5633" width="9.140625" style="90"/>
    <col min="5634" max="5634" width="7.7109375" style="90" bestFit="1" customWidth="1"/>
    <col min="5635" max="5635" width="13.140625" style="90" customWidth="1"/>
    <col min="5636" max="5886" width="9.140625" style="90"/>
    <col min="5887" max="5887" width="41.28515625" style="90" bestFit="1" customWidth="1"/>
    <col min="5888" max="5889" width="9.140625" style="90"/>
    <col min="5890" max="5890" width="7.7109375" style="90" bestFit="1" customWidth="1"/>
    <col min="5891" max="5891" width="13.140625" style="90" customWidth="1"/>
    <col min="5892" max="6142" width="9.140625" style="90"/>
    <col min="6143" max="6143" width="41.28515625" style="90" bestFit="1" customWidth="1"/>
    <col min="6144" max="6145" width="9.140625" style="90"/>
    <col min="6146" max="6146" width="7.7109375" style="90" bestFit="1" customWidth="1"/>
    <col min="6147" max="6147" width="13.140625" style="90" customWidth="1"/>
    <col min="6148" max="6398" width="9.140625" style="90"/>
    <col min="6399" max="6399" width="41.28515625" style="90" bestFit="1" customWidth="1"/>
    <col min="6400" max="6401" width="9.140625" style="90"/>
    <col min="6402" max="6402" width="7.7109375" style="90" bestFit="1" customWidth="1"/>
    <col min="6403" max="6403" width="13.140625" style="90" customWidth="1"/>
    <col min="6404" max="6654" width="9.140625" style="90"/>
    <col min="6655" max="6655" width="41.28515625" style="90" bestFit="1" customWidth="1"/>
    <col min="6656" max="6657" width="9.140625" style="90"/>
    <col min="6658" max="6658" width="7.7109375" style="90" bestFit="1" customWidth="1"/>
    <col min="6659" max="6659" width="13.140625" style="90" customWidth="1"/>
    <col min="6660" max="6910" width="9.140625" style="90"/>
    <col min="6911" max="6911" width="41.28515625" style="90" bestFit="1" customWidth="1"/>
    <col min="6912" max="6913" width="9.140625" style="90"/>
    <col min="6914" max="6914" width="7.7109375" style="90" bestFit="1" customWidth="1"/>
    <col min="6915" max="6915" width="13.140625" style="90" customWidth="1"/>
    <col min="6916" max="7166" width="9.140625" style="90"/>
    <col min="7167" max="7167" width="41.28515625" style="90" bestFit="1" customWidth="1"/>
    <col min="7168" max="7169" width="9.140625" style="90"/>
    <col min="7170" max="7170" width="7.7109375" style="90" bestFit="1" customWidth="1"/>
    <col min="7171" max="7171" width="13.140625" style="90" customWidth="1"/>
    <col min="7172" max="7422" width="9.140625" style="90"/>
    <col min="7423" max="7423" width="41.28515625" style="90" bestFit="1" customWidth="1"/>
    <col min="7424" max="7425" width="9.140625" style="90"/>
    <col min="7426" max="7426" width="7.7109375" style="90" bestFit="1" customWidth="1"/>
    <col min="7427" max="7427" width="13.140625" style="90" customWidth="1"/>
    <col min="7428" max="7678" width="9.140625" style="90"/>
    <col min="7679" max="7679" width="41.28515625" style="90" bestFit="1" customWidth="1"/>
    <col min="7680" max="7681" width="9.140625" style="90"/>
    <col min="7682" max="7682" width="7.7109375" style="90" bestFit="1" customWidth="1"/>
    <col min="7683" max="7683" width="13.140625" style="90" customWidth="1"/>
    <col min="7684" max="7934" width="9.140625" style="90"/>
    <col min="7935" max="7935" width="41.28515625" style="90" bestFit="1" customWidth="1"/>
    <col min="7936" max="7937" width="9.140625" style="90"/>
    <col min="7938" max="7938" width="7.7109375" style="90" bestFit="1" customWidth="1"/>
    <col min="7939" max="7939" width="13.140625" style="90" customWidth="1"/>
    <col min="7940" max="8190" width="9.140625" style="90"/>
    <col min="8191" max="8191" width="41.28515625" style="90" bestFit="1" customWidth="1"/>
    <col min="8192" max="8193" width="9.140625" style="90"/>
    <col min="8194" max="8194" width="7.7109375" style="90" bestFit="1" customWidth="1"/>
    <col min="8195" max="8195" width="13.140625" style="90" customWidth="1"/>
    <col min="8196" max="8446" width="9.140625" style="90"/>
    <col min="8447" max="8447" width="41.28515625" style="90" bestFit="1" customWidth="1"/>
    <col min="8448" max="8449" width="9.140625" style="90"/>
    <col min="8450" max="8450" width="7.7109375" style="90" bestFit="1" customWidth="1"/>
    <col min="8451" max="8451" width="13.140625" style="90" customWidth="1"/>
    <col min="8452" max="8702" width="9.140625" style="90"/>
    <col min="8703" max="8703" width="41.28515625" style="90" bestFit="1" customWidth="1"/>
    <col min="8704" max="8705" width="9.140625" style="90"/>
    <col min="8706" max="8706" width="7.7109375" style="90" bestFit="1" customWidth="1"/>
    <col min="8707" max="8707" width="13.140625" style="90" customWidth="1"/>
    <col min="8708" max="8958" width="9.140625" style="90"/>
    <col min="8959" max="8959" width="41.28515625" style="90" bestFit="1" customWidth="1"/>
    <col min="8960" max="8961" width="9.140625" style="90"/>
    <col min="8962" max="8962" width="7.7109375" style="90" bestFit="1" customWidth="1"/>
    <col min="8963" max="8963" width="13.140625" style="90" customWidth="1"/>
    <col min="8964" max="9214" width="9.140625" style="90"/>
    <col min="9215" max="9215" width="41.28515625" style="90" bestFit="1" customWidth="1"/>
    <col min="9216" max="9217" width="9.140625" style="90"/>
    <col min="9218" max="9218" width="7.7109375" style="90" bestFit="1" customWidth="1"/>
    <col min="9219" max="9219" width="13.140625" style="90" customWidth="1"/>
    <col min="9220" max="9470" width="9.140625" style="90"/>
    <col min="9471" max="9471" width="41.28515625" style="90" bestFit="1" customWidth="1"/>
    <col min="9472" max="9473" width="9.140625" style="90"/>
    <col min="9474" max="9474" width="7.7109375" style="90" bestFit="1" customWidth="1"/>
    <col min="9475" max="9475" width="13.140625" style="90" customWidth="1"/>
    <col min="9476" max="9726" width="9.140625" style="90"/>
    <col min="9727" max="9727" width="41.28515625" style="90" bestFit="1" customWidth="1"/>
    <col min="9728" max="9729" width="9.140625" style="90"/>
    <col min="9730" max="9730" width="7.7109375" style="90" bestFit="1" customWidth="1"/>
    <col min="9731" max="9731" width="13.140625" style="90" customWidth="1"/>
    <col min="9732" max="9982" width="9.140625" style="90"/>
    <col min="9983" max="9983" width="41.28515625" style="90" bestFit="1" customWidth="1"/>
    <col min="9984" max="9985" width="9.140625" style="90"/>
    <col min="9986" max="9986" width="7.7109375" style="90" bestFit="1" customWidth="1"/>
    <col min="9987" max="9987" width="13.140625" style="90" customWidth="1"/>
    <col min="9988" max="10238" width="9.140625" style="90"/>
    <col min="10239" max="10239" width="41.28515625" style="90" bestFit="1" customWidth="1"/>
    <col min="10240" max="10241" width="9.140625" style="90"/>
    <col min="10242" max="10242" width="7.7109375" style="90" bestFit="1" customWidth="1"/>
    <col min="10243" max="10243" width="13.140625" style="90" customWidth="1"/>
    <col min="10244" max="10494" width="9.140625" style="90"/>
    <col min="10495" max="10495" width="41.28515625" style="90" bestFit="1" customWidth="1"/>
    <col min="10496" max="10497" width="9.140625" style="90"/>
    <col min="10498" max="10498" width="7.7109375" style="90" bestFit="1" customWidth="1"/>
    <col min="10499" max="10499" width="13.140625" style="90" customWidth="1"/>
    <col min="10500" max="10750" width="9.140625" style="90"/>
    <col min="10751" max="10751" width="41.28515625" style="90" bestFit="1" customWidth="1"/>
    <col min="10752" max="10753" width="9.140625" style="90"/>
    <col min="10754" max="10754" width="7.7109375" style="90" bestFit="1" customWidth="1"/>
    <col min="10755" max="10755" width="13.140625" style="90" customWidth="1"/>
    <col min="10756" max="11006" width="9.140625" style="90"/>
    <col min="11007" max="11007" width="41.28515625" style="90" bestFit="1" customWidth="1"/>
    <col min="11008" max="11009" width="9.140625" style="90"/>
    <col min="11010" max="11010" width="7.7109375" style="90" bestFit="1" customWidth="1"/>
    <col min="11011" max="11011" width="13.140625" style="90" customWidth="1"/>
    <col min="11012" max="11262" width="9.140625" style="90"/>
    <col min="11263" max="11263" width="41.28515625" style="90" bestFit="1" customWidth="1"/>
    <col min="11264" max="11265" width="9.140625" style="90"/>
    <col min="11266" max="11266" width="7.7109375" style="90" bestFit="1" customWidth="1"/>
    <col min="11267" max="11267" width="13.140625" style="90" customWidth="1"/>
    <col min="11268" max="11518" width="9.140625" style="90"/>
    <col min="11519" max="11519" width="41.28515625" style="90" bestFit="1" customWidth="1"/>
    <col min="11520" max="11521" width="9.140625" style="90"/>
    <col min="11522" max="11522" width="7.7109375" style="90" bestFit="1" customWidth="1"/>
    <col min="11523" max="11523" width="13.140625" style="90" customWidth="1"/>
    <col min="11524" max="11774" width="9.140625" style="90"/>
    <col min="11775" max="11775" width="41.28515625" style="90" bestFit="1" customWidth="1"/>
    <col min="11776" max="11777" width="9.140625" style="90"/>
    <col min="11778" max="11778" width="7.7109375" style="90" bestFit="1" customWidth="1"/>
    <col min="11779" max="11779" width="13.140625" style="90" customWidth="1"/>
    <col min="11780" max="12030" width="9.140625" style="90"/>
    <col min="12031" max="12031" width="41.28515625" style="90" bestFit="1" customWidth="1"/>
    <col min="12032" max="12033" width="9.140625" style="90"/>
    <col min="12034" max="12034" width="7.7109375" style="90" bestFit="1" customWidth="1"/>
    <col min="12035" max="12035" width="13.140625" style="90" customWidth="1"/>
    <col min="12036" max="12286" width="9.140625" style="90"/>
    <col min="12287" max="12287" width="41.28515625" style="90" bestFit="1" customWidth="1"/>
    <col min="12288" max="12289" width="9.140625" style="90"/>
    <col min="12290" max="12290" width="7.7109375" style="90" bestFit="1" customWidth="1"/>
    <col min="12291" max="12291" width="13.140625" style="90" customWidth="1"/>
    <col min="12292" max="12542" width="9.140625" style="90"/>
    <col min="12543" max="12543" width="41.28515625" style="90" bestFit="1" customWidth="1"/>
    <col min="12544" max="12545" width="9.140625" style="90"/>
    <col min="12546" max="12546" width="7.7109375" style="90" bestFit="1" customWidth="1"/>
    <col min="12547" max="12547" width="13.140625" style="90" customWidth="1"/>
    <col min="12548" max="12798" width="9.140625" style="90"/>
    <col min="12799" max="12799" width="41.28515625" style="90" bestFit="1" customWidth="1"/>
    <col min="12800" max="12801" width="9.140625" style="90"/>
    <col min="12802" max="12802" width="7.7109375" style="90" bestFit="1" customWidth="1"/>
    <col min="12803" max="12803" width="13.140625" style="90" customWidth="1"/>
    <col min="12804" max="13054" width="9.140625" style="90"/>
    <col min="13055" max="13055" width="41.28515625" style="90" bestFit="1" customWidth="1"/>
    <col min="13056" max="13057" width="9.140625" style="90"/>
    <col min="13058" max="13058" width="7.7109375" style="90" bestFit="1" customWidth="1"/>
    <col min="13059" max="13059" width="13.140625" style="90" customWidth="1"/>
    <col min="13060" max="13310" width="9.140625" style="90"/>
    <col min="13311" max="13311" width="41.28515625" style="90" bestFit="1" customWidth="1"/>
    <col min="13312" max="13313" width="9.140625" style="90"/>
    <col min="13314" max="13314" width="7.7109375" style="90" bestFit="1" customWidth="1"/>
    <col min="13315" max="13315" width="13.140625" style="90" customWidth="1"/>
    <col min="13316" max="13566" width="9.140625" style="90"/>
    <col min="13567" max="13567" width="41.28515625" style="90" bestFit="1" customWidth="1"/>
    <col min="13568" max="13569" width="9.140625" style="90"/>
    <col min="13570" max="13570" width="7.7109375" style="90" bestFit="1" customWidth="1"/>
    <col min="13571" max="13571" width="13.140625" style="90" customWidth="1"/>
    <col min="13572" max="13822" width="9.140625" style="90"/>
    <col min="13823" max="13823" width="41.28515625" style="90" bestFit="1" customWidth="1"/>
    <col min="13824" max="13825" width="9.140625" style="90"/>
    <col min="13826" max="13826" width="7.7109375" style="90" bestFit="1" customWidth="1"/>
    <col min="13827" max="13827" width="13.140625" style="90" customWidth="1"/>
    <col min="13828" max="14078" width="9.140625" style="90"/>
    <col min="14079" max="14079" width="41.28515625" style="90" bestFit="1" customWidth="1"/>
    <col min="14080" max="14081" width="9.140625" style="90"/>
    <col min="14082" max="14082" width="7.7109375" style="90" bestFit="1" customWidth="1"/>
    <col min="14083" max="14083" width="13.140625" style="90" customWidth="1"/>
    <col min="14084" max="14334" width="9.140625" style="90"/>
    <col min="14335" max="14335" width="41.28515625" style="90" bestFit="1" customWidth="1"/>
    <col min="14336" max="14337" width="9.140625" style="90"/>
    <col min="14338" max="14338" width="7.7109375" style="90" bestFit="1" customWidth="1"/>
    <col min="14339" max="14339" width="13.140625" style="90" customWidth="1"/>
    <col min="14340" max="14590" width="9.140625" style="90"/>
    <col min="14591" max="14591" width="41.28515625" style="90" bestFit="1" customWidth="1"/>
    <col min="14592" max="14593" width="9.140625" style="90"/>
    <col min="14594" max="14594" width="7.7109375" style="90" bestFit="1" customWidth="1"/>
    <col min="14595" max="14595" width="13.140625" style="90" customWidth="1"/>
    <col min="14596" max="14846" width="9.140625" style="90"/>
    <col min="14847" max="14847" width="41.28515625" style="90" bestFit="1" customWidth="1"/>
    <col min="14848" max="14849" width="9.140625" style="90"/>
    <col min="14850" max="14850" width="7.7109375" style="90" bestFit="1" customWidth="1"/>
    <col min="14851" max="14851" width="13.140625" style="90" customWidth="1"/>
    <col min="14852" max="15102" width="9.140625" style="90"/>
    <col min="15103" max="15103" width="41.28515625" style="90" bestFit="1" customWidth="1"/>
    <col min="15104" max="15105" width="9.140625" style="90"/>
    <col min="15106" max="15106" width="7.7109375" style="90" bestFit="1" customWidth="1"/>
    <col min="15107" max="15107" width="13.140625" style="90" customWidth="1"/>
    <col min="15108" max="15358" width="9.140625" style="90"/>
    <col min="15359" max="15359" width="41.28515625" style="90" bestFit="1" customWidth="1"/>
    <col min="15360" max="15361" width="9.140625" style="90"/>
    <col min="15362" max="15362" width="7.7109375" style="90" bestFit="1" customWidth="1"/>
    <col min="15363" max="15363" width="13.140625" style="90" customWidth="1"/>
    <col min="15364" max="15614" width="9.140625" style="90"/>
    <col min="15615" max="15615" width="41.28515625" style="90" bestFit="1" customWidth="1"/>
    <col min="15616" max="15617" width="9.140625" style="90"/>
    <col min="15618" max="15618" width="7.7109375" style="90" bestFit="1" customWidth="1"/>
    <col min="15619" max="15619" width="13.140625" style="90" customWidth="1"/>
    <col min="15620" max="15870" width="9.140625" style="90"/>
    <col min="15871" max="15871" width="41.28515625" style="90" bestFit="1" customWidth="1"/>
    <col min="15872" max="15873" width="9.140625" style="90"/>
    <col min="15874" max="15874" width="7.7109375" style="90" bestFit="1" customWidth="1"/>
    <col min="15875" max="15875" width="13.140625" style="90" customWidth="1"/>
    <col min="15876" max="16126" width="9.140625" style="90"/>
    <col min="16127" max="16127" width="41.28515625" style="90" bestFit="1" customWidth="1"/>
    <col min="16128" max="16129" width="9.140625" style="90"/>
    <col min="16130" max="16130" width="7.7109375" style="90" bestFit="1" customWidth="1"/>
    <col min="16131" max="16131" width="13.140625" style="90" customWidth="1"/>
    <col min="16132" max="16384" width="9.140625" style="90"/>
  </cols>
  <sheetData>
    <row r="1" spans="1:16" s="55" customFormat="1" ht="23.25" x14ac:dyDescent="0.35">
      <c r="A1" s="22" t="str">
        <f>IS!A1</f>
        <v>Colgate-Palmolive Company</v>
      </c>
      <c r="C1" s="57"/>
      <c r="D1" s="57"/>
      <c r="E1" s="56"/>
    </row>
    <row r="2" spans="1:16" s="23" customFormat="1" ht="14.25" x14ac:dyDescent="0.2"/>
    <row r="3" spans="1:16" s="23" customFormat="1" ht="20.25" x14ac:dyDescent="0.3">
      <c r="A3" s="1" t="s">
        <v>161</v>
      </c>
    </row>
    <row r="4" spans="1:16" s="23" customFormat="1" ht="14.25" x14ac:dyDescent="0.2"/>
    <row r="5" spans="1:16" s="55" customFormat="1" ht="15.75" thickBot="1" x14ac:dyDescent="0.3">
      <c r="B5" s="62"/>
      <c r="C5" s="61">
        <f>BS!F5</f>
        <v>40543</v>
      </c>
      <c r="D5" s="61">
        <f>BS!G5</f>
        <v>40908</v>
      </c>
      <c r="E5" s="61">
        <f>BS!H5</f>
        <v>41274</v>
      </c>
      <c r="F5" s="61">
        <f>BS!I5</f>
        <v>41639</v>
      </c>
      <c r="G5" s="61">
        <f>BS!J5</f>
        <v>42004</v>
      </c>
      <c r="H5" s="61">
        <f>BS!K5</f>
        <v>42369</v>
      </c>
      <c r="I5" s="61">
        <f>BS!L5</f>
        <v>42735</v>
      </c>
      <c r="J5" s="61">
        <f>BS!M5</f>
        <v>43100</v>
      </c>
      <c r="K5" s="61">
        <f>BS!N5</f>
        <v>43465</v>
      </c>
      <c r="L5" s="61">
        <f>BS!O5</f>
        <v>43830</v>
      </c>
      <c r="M5" s="61">
        <f>BS!P5</f>
        <v>44196</v>
      </c>
      <c r="N5" s="61">
        <f>BS!Q5</f>
        <v>44561</v>
      </c>
      <c r="O5" s="61">
        <f>BS!R5</f>
        <v>44926</v>
      </c>
      <c r="P5" s="61"/>
    </row>
    <row r="6" spans="1:16" x14ac:dyDescent="0.25">
      <c r="B6" s="23" t="s">
        <v>162</v>
      </c>
      <c r="C6" s="144"/>
      <c r="D6" s="144"/>
      <c r="E6" s="144"/>
      <c r="F6" s="357"/>
      <c r="G6" s="358"/>
      <c r="H6" s="358"/>
      <c r="I6" s="358"/>
      <c r="J6" s="351"/>
      <c r="K6" s="145">
        <f ca="1">CF!N37</f>
        <v>2711.8653269823717</v>
      </c>
      <c r="L6" s="145">
        <f ca="1">CF!O37</f>
        <v>1643.1195885731572</v>
      </c>
      <c r="M6" s="145">
        <f ca="1">CF!P37</f>
        <v>1676.5510289590779</v>
      </c>
      <c r="N6" s="145">
        <f ca="1">CF!Q37</f>
        <v>1731.0105221968238</v>
      </c>
      <c r="O6" s="145">
        <f ca="1">CF!R37</f>
        <v>1806.4508043284477</v>
      </c>
    </row>
    <row r="7" spans="1:16" x14ac:dyDescent="0.25">
      <c r="B7" s="23" t="s">
        <v>163</v>
      </c>
      <c r="C7" s="137"/>
      <c r="D7" s="137"/>
      <c r="E7" s="137"/>
      <c r="F7" s="359"/>
      <c r="G7" s="360"/>
      <c r="H7" s="360"/>
      <c r="I7" s="360"/>
      <c r="J7" s="360"/>
      <c r="K7" s="138">
        <f>CF!N44</f>
        <v>-1350</v>
      </c>
      <c r="L7" s="138">
        <f>CF!O44</f>
        <v>-1350</v>
      </c>
      <c r="M7" s="138">
        <f>CF!P44</f>
        <v>-1350</v>
      </c>
      <c r="N7" s="138">
        <f>CF!Q44</f>
        <v>-1350</v>
      </c>
      <c r="O7" s="138">
        <f>CF!R44</f>
        <v>-1350</v>
      </c>
    </row>
    <row r="8" spans="1:16" x14ac:dyDescent="0.25">
      <c r="B8" s="23" t="s">
        <v>164</v>
      </c>
      <c r="C8" s="139"/>
      <c r="D8" s="139"/>
      <c r="E8" s="139"/>
      <c r="F8" s="361"/>
      <c r="G8" s="360"/>
      <c r="H8" s="360"/>
      <c r="I8" s="360"/>
      <c r="J8" s="360"/>
      <c r="K8" s="138">
        <f ca="1">CF!N43</f>
        <v>-1319.6437068770201</v>
      </c>
      <c r="L8" s="138">
        <f ca="1">CF!O43</f>
        <v>-1365.2189679941519</v>
      </c>
      <c r="M8" s="138">
        <f ca="1">CF!P43</f>
        <v>-1397.631181666259</v>
      </c>
      <c r="N8" s="138">
        <f ca="1">CF!Q43</f>
        <v>-1428.8467124778781</v>
      </c>
      <c r="O8" s="138">
        <f ca="1">CF!R43</f>
        <v>-1466.562521050811</v>
      </c>
    </row>
    <row r="9" spans="1:16" x14ac:dyDescent="0.25">
      <c r="B9" s="23" t="s">
        <v>142</v>
      </c>
      <c r="C9" s="139"/>
      <c r="D9" s="139"/>
      <c r="E9" s="139"/>
      <c r="F9" s="361"/>
      <c r="G9" s="360"/>
      <c r="H9" s="360"/>
      <c r="I9" s="360"/>
      <c r="J9" s="360"/>
      <c r="K9" s="138">
        <f>CF!N45</f>
        <v>507</v>
      </c>
      <c r="L9" s="138">
        <f>CF!O45</f>
        <v>507</v>
      </c>
      <c r="M9" s="138">
        <f>CF!P45</f>
        <v>507</v>
      </c>
      <c r="N9" s="138">
        <f>CF!Q45</f>
        <v>507</v>
      </c>
      <c r="O9" s="138">
        <f>CF!R45</f>
        <v>507</v>
      </c>
    </row>
    <row r="10" spans="1:16" x14ac:dyDescent="0.25">
      <c r="B10" s="146" t="s">
        <v>165</v>
      </c>
      <c r="C10" s="139"/>
      <c r="D10" s="139"/>
      <c r="E10" s="139"/>
      <c r="F10" s="361"/>
      <c r="G10" s="362"/>
      <c r="H10" s="362"/>
      <c r="I10" s="362"/>
      <c r="J10" s="362"/>
      <c r="K10" s="136">
        <f>CF!N51</f>
        <v>1535</v>
      </c>
      <c r="L10" s="136">
        <f ca="1">CF!O51</f>
        <v>2084.2216201053516</v>
      </c>
      <c r="M10" s="136">
        <f ca="1">CF!P51</f>
        <v>422.12224068435671</v>
      </c>
      <c r="N10" s="136">
        <f ca="1">CF!Q51</f>
        <v>1108.7969271643026</v>
      </c>
      <c r="O10" s="136">
        <f ca="1">CF!R51</f>
        <v>496.54325703749259</v>
      </c>
    </row>
    <row r="11" spans="1:16" x14ac:dyDescent="0.25">
      <c r="B11" s="146" t="s">
        <v>166</v>
      </c>
      <c r="C11" s="139"/>
      <c r="D11" s="139"/>
      <c r="E11" s="139"/>
      <c r="F11" s="361"/>
      <c r="G11" s="363"/>
      <c r="H11" s="363"/>
      <c r="I11" s="363"/>
      <c r="J11" s="363"/>
      <c r="K11" s="141">
        <v>-500</v>
      </c>
      <c r="L11" s="141">
        <v>-500</v>
      </c>
      <c r="M11" s="141">
        <v>-500</v>
      </c>
      <c r="N11" s="141">
        <v>-500</v>
      </c>
      <c r="O11" s="141">
        <v>-500</v>
      </c>
    </row>
    <row r="12" spans="1:16" x14ac:dyDescent="0.25">
      <c r="B12" s="23" t="s">
        <v>167</v>
      </c>
      <c r="C12" s="139"/>
      <c r="D12" s="139"/>
      <c r="E12" s="139"/>
      <c r="F12" s="361"/>
      <c r="G12" s="364"/>
      <c r="H12" s="364"/>
      <c r="I12" s="364"/>
      <c r="J12" s="364"/>
      <c r="K12" s="147">
        <f ca="1">SUM(K6:K11)</f>
        <v>1584.2216201053516</v>
      </c>
      <c r="L12" s="147">
        <f ca="1">SUM(L6:L11)</f>
        <v>1019.1222406843569</v>
      </c>
      <c r="M12" s="147">
        <f ca="1">SUM(M6:M11)</f>
        <v>-641.9579120228243</v>
      </c>
      <c r="N12" s="147">
        <f ca="1">SUM(N6:N11)</f>
        <v>67.960736883248273</v>
      </c>
      <c r="O12" s="147">
        <f ca="1">SUM(O6:O11)</f>
        <v>-506.56845968487073</v>
      </c>
    </row>
    <row r="13" spans="1:16" x14ac:dyDescent="0.25">
      <c r="B13" s="23" t="s">
        <v>168</v>
      </c>
      <c r="C13" s="139"/>
      <c r="D13" s="139"/>
      <c r="E13" s="139"/>
      <c r="F13" s="361"/>
      <c r="G13" s="361"/>
      <c r="H13" s="361"/>
      <c r="I13" s="361"/>
      <c r="J13" s="361"/>
      <c r="K13" s="95"/>
    </row>
    <row r="14" spans="1:16" x14ac:dyDescent="0.25">
      <c r="B14" s="23" t="s">
        <v>169</v>
      </c>
      <c r="C14" s="139"/>
      <c r="D14" s="139"/>
      <c r="E14" s="139"/>
      <c r="F14" s="361"/>
      <c r="G14" s="361"/>
      <c r="H14" s="361"/>
      <c r="I14" s="361"/>
      <c r="J14" s="361"/>
      <c r="K14" s="95">
        <f>K25</f>
        <v>0</v>
      </c>
      <c r="L14" s="95">
        <f>L25</f>
        <v>-1097</v>
      </c>
      <c r="M14" s="95">
        <f>M25</f>
        <v>-248</v>
      </c>
      <c r="N14" s="95">
        <f>N25</f>
        <v>-298</v>
      </c>
      <c r="O14" s="95">
        <f>O25</f>
        <v>-889</v>
      </c>
    </row>
    <row r="15" spans="1:16" x14ac:dyDescent="0.25">
      <c r="B15" s="24" t="s">
        <v>170</v>
      </c>
      <c r="C15" s="147"/>
      <c r="D15" s="147"/>
      <c r="E15" s="147"/>
      <c r="F15" s="147"/>
      <c r="G15" s="147"/>
      <c r="H15" s="147"/>
      <c r="I15" s="147"/>
      <c r="J15" s="147"/>
      <c r="K15" s="147">
        <f ca="1">SUM(K6:K14)</f>
        <v>3168.4432402107032</v>
      </c>
      <c r="L15" s="147">
        <f ca="1">SUM(L6:L14)</f>
        <v>941.24448136871388</v>
      </c>
      <c r="M15" s="147">
        <f ca="1">SUM(M6:M14)</f>
        <v>-1531.9158240456486</v>
      </c>
      <c r="N15" s="147">
        <f ca="1">SUM(N6:N14)</f>
        <v>-162.07852623350345</v>
      </c>
      <c r="O15" s="147">
        <f ca="1">SUM(O6:O14)</f>
        <v>-1902.1369193697415</v>
      </c>
    </row>
    <row r="16" spans="1:16" x14ac:dyDescent="0.25">
      <c r="B16" s="23"/>
      <c r="C16" s="95"/>
      <c r="D16" s="95"/>
      <c r="E16" s="95"/>
      <c r="F16" s="95"/>
      <c r="G16" s="95"/>
      <c r="H16" s="95"/>
      <c r="I16" s="95"/>
    </row>
    <row r="17" spans="2:16" x14ac:dyDescent="0.25">
      <c r="B17" s="91" t="s">
        <v>171</v>
      </c>
      <c r="C17" s="95"/>
      <c r="D17" s="95"/>
      <c r="E17" s="95"/>
      <c r="F17" s="95"/>
      <c r="G17" s="95"/>
      <c r="H17" s="95"/>
      <c r="I17" s="95"/>
    </row>
    <row r="18" spans="2:16" x14ac:dyDescent="0.25">
      <c r="B18" s="23" t="s">
        <v>172</v>
      </c>
      <c r="C18" s="95"/>
      <c r="D18" s="95"/>
      <c r="E18" s="95"/>
      <c r="F18" s="95"/>
      <c r="G18" s="95"/>
      <c r="H18" s="95"/>
      <c r="I18" s="95"/>
      <c r="J18" s="95"/>
      <c r="K18" s="95">
        <f>J20</f>
        <v>0</v>
      </c>
      <c r="L18" s="95">
        <f ca="1">K20</f>
        <v>0</v>
      </c>
      <c r="M18" s="95">
        <f ca="1">L20</f>
        <v>0</v>
      </c>
      <c r="N18" s="95">
        <f ca="1">M20</f>
        <v>1531.9158240456486</v>
      </c>
      <c r="O18" s="95">
        <f ca="1">N20</f>
        <v>1693.9943502791521</v>
      </c>
    </row>
    <row r="19" spans="2:16" x14ac:dyDescent="0.25">
      <c r="B19" s="23" t="s">
        <v>173</v>
      </c>
      <c r="C19" s="95"/>
      <c r="D19" s="95"/>
      <c r="E19" s="95"/>
      <c r="F19" s="95"/>
      <c r="G19" s="95"/>
      <c r="H19" s="95"/>
      <c r="I19" s="95"/>
      <c r="J19" s="95"/>
      <c r="K19" s="95">
        <f ca="1">IF(K15&lt;0,-K15,-MIN(K15,K18))</f>
        <v>0</v>
      </c>
      <c r="L19" s="95">
        <f ca="1">IF(L15&lt;0,-L15,-MIN(L15,L18))</f>
        <v>0</v>
      </c>
      <c r="M19" s="95">
        <f ca="1">IF(M15&lt;0,-M15,-MIN(M15,M18))</f>
        <v>1531.9158240456486</v>
      </c>
      <c r="N19" s="95">
        <f ca="1">IF(N15&lt;0,-N15,-MIN(N15,N18))</f>
        <v>162.07852623350345</v>
      </c>
      <c r="O19" s="95">
        <f ca="1">IF(O15&lt;0,-O15,-MIN(O15,O18))</f>
        <v>1902.1369193697415</v>
      </c>
    </row>
    <row r="20" spans="2:16" x14ac:dyDescent="0.25">
      <c r="B20" s="23" t="s">
        <v>174</v>
      </c>
      <c r="C20" s="95"/>
      <c r="D20" s="95"/>
      <c r="E20" s="95"/>
      <c r="F20" s="95">
        <v>0</v>
      </c>
      <c r="G20" s="95"/>
      <c r="H20" s="95"/>
      <c r="I20" s="95"/>
      <c r="J20" s="95">
        <v>0</v>
      </c>
      <c r="K20" s="95">
        <f ca="1">SUM(K18:K19)</f>
        <v>0</v>
      </c>
      <c r="L20" s="95">
        <f ca="1">SUM(L18:L19)</f>
        <v>0</v>
      </c>
      <c r="M20" s="95">
        <f ca="1">SUM(M18:M19)</f>
        <v>1531.9158240456486</v>
      </c>
      <c r="N20" s="95">
        <f ca="1">SUM(N18:N19)</f>
        <v>1693.9943502791521</v>
      </c>
      <c r="O20" s="95">
        <f ca="1">SUM(O18:O19)</f>
        <v>3596.1312696488935</v>
      </c>
    </row>
    <row r="21" spans="2:16" x14ac:dyDescent="0.25">
      <c r="B21" s="23"/>
      <c r="C21" s="95"/>
      <c r="D21" s="95"/>
      <c r="E21" s="95"/>
      <c r="F21" s="95"/>
      <c r="G21" s="95"/>
      <c r="H21" s="95"/>
      <c r="I21" s="95"/>
    </row>
    <row r="22" spans="2:16" x14ac:dyDescent="0.25">
      <c r="B22" s="91" t="s">
        <v>175</v>
      </c>
      <c r="C22" s="95"/>
      <c r="D22" s="95"/>
      <c r="E22" s="95"/>
      <c r="F22" s="95"/>
      <c r="G22" s="95"/>
      <c r="H22" s="95"/>
      <c r="I22" s="95"/>
    </row>
    <row r="23" spans="2:16" x14ac:dyDescent="0.25">
      <c r="B23" s="23" t="s">
        <v>172</v>
      </c>
      <c r="C23" s="95"/>
      <c r="D23" s="95"/>
      <c r="E23" s="95"/>
      <c r="F23" s="95"/>
      <c r="G23" s="95"/>
      <c r="H23" s="95"/>
      <c r="I23" s="95"/>
      <c r="J23" s="95"/>
      <c r="K23" s="95">
        <f>J26</f>
        <v>6566</v>
      </c>
      <c r="L23" s="95">
        <f>K26</f>
        <v>6566</v>
      </c>
      <c r="M23" s="95">
        <f>L26</f>
        <v>5469</v>
      </c>
      <c r="N23" s="95">
        <f>M26</f>
        <v>5221</v>
      </c>
      <c r="O23" s="95">
        <f>N26</f>
        <v>4923</v>
      </c>
    </row>
    <row r="24" spans="2:16" x14ac:dyDescent="0.25">
      <c r="B24" s="23" t="s">
        <v>176</v>
      </c>
      <c r="C24" s="148"/>
      <c r="D24" s="148"/>
      <c r="E24" s="148"/>
      <c r="F24" s="218"/>
      <c r="G24" s="218"/>
      <c r="H24" s="218"/>
      <c r="I24" s="218"/>
      <c r="J24" s="218"/>
      <c r="K24" s="218"/>
    </row>
    <row r="25" spans="2:16" x14ac:dyDescent="0.25">
      <c r="B25" s="23" t="s">
        <v>177</v>
      </c>
      <c r="C25" s="149"/>
      <c r="D25" s="149"/>
      <c r="E25" s="149"/>
      <c r="F25" s="219"/>
      <c r="G25" s="149"/>
      <c r="H25" s="149"/>
      <c r="I25" s="149"/>
      <c r="J25" s="219"/>
      <c r="K25" s="219">
        <v>0</v>
      </c>
      <c r="L25" s="218">
        <v>-1097</v>
      </c>
      <c r="M25" s="218">
        <v>-248</v>
      </c>
      <c r="N25" s="218">
        <v>-298</v>
      </c>
      <c r="O25" s="218">
        <v>-889</v>
      </c>
      <c r="P25" s="218">
        <v>-3311</v>
      </c>
    </row>
    <row r="26" spans="2:16" x14ac:dyDescent="0.25">
      <c r="B26" s="23" t="s">
        <v>174</v>
      </c>
      <c r="C26" s="95"/>
      <c r="D26" s="95"/>
      <c r="E26" s="95"/>
      <c r="F26" s="134">
        <f>BS!I33+BS!I23</f>
        <v>457</v>
      </c>
      <c r="G26" s="134">
        <f>BS!J33+BS!J23</f>
        <v>277</v>
      </c>
      <c r="H26" s="134">
        <f>BS!K33+BS!K23</f>
        <v>237</v>
      </c>
      <c r="I26" s="134">
        <f>BS!L33+BS!L23</f>
        <v>259</v>
      </c>
      <c r="J26" s="134">
        <f>BS!M32</f>
        <v>6566</v>
      </c>
      <c r="K26" s="134">
        <f>SUM(K23:K25)</f>
        <v>6566</v>
      </c>
      <c r="L26" s="354">
        <f>SUM(L23:L25)</f>
        <v>5469</v>
      </c>
      <c r="M26" s="354">
        <f>SUM(M23:M25)</f>
        <v>5221</v>
      </c>
      <c r="N26" s="354">
        <f>SUM(N23:N25)</f>
        <v>4923</v>
      </c>
      <c r="O26" s="354">
        <f>SUM(O23:O25)</f>
        <v>4034</v>
      </c>
    </row>
    <row r="27" spans="2:16" x14ac:dyDescent="0.25">
      <c r="B27" s="23"/>
      <c r="C27" s="23"/>
      <c r="D27" s="23"/>
      <c r="E27" s="23"/>
      <c r="F27" s="225"/>
      <c r="G27" s="225"/>
      <c r="H27" s="225"/>
      <c r="I27" s="225"/>
      <c r="J27" s="241"/>
      <c r="K27" s="241"/>
    </row>
    <row r="28" spans="2:16" x14ac:dyDescent="0.25">
      <c r="B28" s="23" t="s">
        <v>175</v>
      </c>
      <c r="C28" s="23"/>
      <c r="D28" s="23"/>
      <c r="E28" s="23"/>
      <c r="F28" s="225"/>
      <c r="G28" s="247"/>
      <c r="H28" s="247"/>
      <c r="I28" s="247"/>
      <c r="J28" s="247"/>
      <c r="K28" s="247">
        <f>K26+L25</f>
        <v>5469</v>
      </c>
      <c r="L28" s="247">
        <f>L26+M25</f>
        <v>5221</v>
      </c>
      <c r="M28" s="247">
        <f>M26+N25</f>
        <v>4923</v>
      </c>
      <c r="N28" s="247">
        <f>N26+O25</f>
        <v>4034</v>
      </c>
      <c r="O28" s="247">
        <f>O26+P25</f>
        <v>723</v>
      </c>
    </row>
    <row r="29" spans="2:16" x14ac:dyDescent="0.25">
      <c r="B29" s="23" t="s">
        <v>211</v>
      </c>
      <c r="C29" s="23"/>
      <c r="D29" s="23"/>
      <c r="E29" s="23"/>
      <c r="F29" s="225"/>
      <c r="G29" s="248"/>
      <c r="H29" s="248"/>
      <c r="I29" s="248"/>
      <c r="J29" s="248"/>
      <c r="K29" s="248">
        <f>-L25</f>
        <v>1097</v>
      </c>
      <c r="L29" s="248">
        <f>-M25</f>
        <v>248</v>
      </c>
      <c r="M29" s="248">
        <f>-N25</f>
        <v>298</v>
      </c>
      <c r="N29" s="248">
        <f>-O25</f>
        <v>889</v>
      </c>
      <c r="O29" s="248">
        <f>-P25</f>
        <v>3311</v>
      </c>
    </row>
    <row r="30" spans="2:16" x14ac:dyDescent="0.25">
      <c r="B30" s="23"/>
      <c r="C30" s="23"/>
      <c r="D30" s="23"/>
      <c r="E30" s="23"/>
      <c r="F30" s="225"/>
      <c r="G30" s="225"/>
      <c r="H30" s="225"/>
      <c r="I30" s="225"/>
      <c r="J30" s="241"/>
      <c r="K30" s="241"/>
    </row>
    <row r="31" spans="2:16" x14ac:dyDescent="0.25">
      <c r="B31" s="23"/>
      <c r="C31" s="23"/>
      <c r="D31" s="23"/>
      <c r="E31" s="23"/>
      <c r="F31" s="225"/>
      <c r="G31" s="225"/>
      <c r="H31" s="225"/>
      <c r="I31" s="225"/>
      <c r="J31" s="241"/>
      <c r="K31" s="241"/>
    </row>
    <row r="32" spans="2:16" x14ac:dyDescent="0.25">
      <c r="B32" s="23"/>
      <c r="C32" s="23"/>
      <c r="D32" s="23"/>
      <c r="E32" s="23"/>
      <c r="F32" s="225"/>
      <c r="G32" s="225"/>
      <c r="H32" s="225"/>
      <c r="I32" s="225"/>
      <c r="J32" s="241"/>
      <c r="K32" s="241"/>
    </row>
    <row r="33" spans="2:16" x14ac:dyDescent="0.25">
      <c r="B33" s="91" t="s">
        <v>171</v>
      </c>
      <c r="C33" s="23" t="s">
        <v>178</v>
      </c>
      <c r="D33" s="150"/>
      <c r="E33" s="150"/>
      <c r="F33" s="248"/>
      <c r="G33" s="248"/>
      <c r="H33" s="23" t="s">
        <v>178</v>
      </c>
      <c r="I33" s="248"/>
      <c r="J33" s="248"/>
      <c r="K33" s="248">
        <f ca="1">AVERAGE(J20:K20)</f>
        <v>0</v>
      </c>
      <c r="L33" s="248">
        <f ca="1">AVERAGE(K20:L20)</f>
        <v>0</v>
      </c>
      <c r="M33" s="248">
        <f ca="1">AVERAGE(L20:M20)</f>
        <v>765.9579120228243</v>
      </c>
      <c r="N33" s="248">
        <f ca="1">AVERAGE(M20:N20)</f>
        <v>1612.9550871624003</v>
      </c>
      <c r="O33" s="248">
        <f ca="1">AVERAGE(N20:O20)</f>
        <v>2645.0628099640226</v>
      </c>
    </row>
    <row r="34" spans="2:16" x14ac:dyDescent="0.25">
      <c r="B34" s="23"/>
      <c r="C34" s="23" t="s">
        <v>179</v>
      </c>
      <c r="D34" s="142"/>
      <c r="E34" s="142"/>
      <c r="F34" s="249"/>
      <c r="G34" s="192"/>
      <c r="H34" s="23" t="s">
        <v>179</v>
      </c>
      <c r="I34" s="192"/>
      <c r="J34" s="192"/>
      <c r="K34" s="192">
        <f>1.5%</f>
        <v>1.4999999999999999E-2</v>
      </c>
      <c r="L34" s="192">
        <f>1.5%</f>
        <v>1.4999999999999999E-2</v>
      </c>
      <c r="M34" s="192">
        <f>1.5%</f>
        <v>1.4999999999999999E-2</v>
      </c>
      <c r="N34" s="192">
        <f>1.5%</f>
        <v>1.4999999999999999E-2</v>
      </c>
      <c r="O34" s="192">
        <f>1.5%</f>
        <v>1.4999999999999999E-2</v>
      </c>
    </row>
    <row r="35" spans="2:16" x14ac:dyDescent="0.25">
      <c r="B35" s="23"/>
      <c r="C35" s="23" t="s">
        <v>180</v>
      </c>
      <c r="D35" s="150"/>
      <c r="E35" s="150"/>
      <c r="F35" s="248"/>
      <c r="G35" s="248"/>
      <c r="H35" s="23" t="s">
        <v>180</v>
      </c>
      <c r="I35" s="248"/>
      <c r="J35" s="248"/>
      <c r="K35" s="248">
        <f ca="1">K34*K33</f>
        <v>0</v>
      </c>
      <c r="L35" s="248">
        <f ca="1">L34*L33</f>
        <v>0</v>
      </c>
      <c r="M35" s="248">
        <f ca="1">M34*M33</f>
        <v>11.489368680342364</v>
      </c>
      <c r="N35" s="248">
        <f ca="1">N34*N33</f>
        <v>24.194326307436004</v>
      </c>
      <c r="O35" s="248">
        <f ca="1">O34*O33</f>
        <v>39.67594214946034</v>
      </c>
    </row>
    <row r="36" spans="2:16" x14ac:dyDescent="0.25">
      <c r="B36" s="23"/>
      <c r="C36" s="23"/>
      <c r="D36" s="23"/>
      <c r="E36" s="23"/>
      <c r="F36" s="225"/>
      <c r="G36" s="225"/>
      <c r="H36" s="225"/>
      <c r="I36" s="225"/>
      <c r="J36" s="241"/>
      <c r="K36" s="241"/>
    </row>
    <row r="37" spans="2:16" x14ac:dyDescent="0.25">
      <c r="B37" s="23"/>
      <c r="C37" s="23"/>
      <c r="D37" s="23"/>
      <c r="E37" s="23"/>
      <c r="F37" s="225"/>
      <c r="G37" s="225"/>
      <c r="H37" s="225"/>
      <c r="I37" s="225"/>
      <c r="J37" s="241"/>
      <c r="K37" s="241"/>
    </row>
    <row r="38" spans="2:16" x14ac:dyDescent="0.25">
      <c r="B38" s="91" t="s">
        <v>175</v>
      </c>
      <c r="C38" s="23" t="s">
        <v>178</v>
      </c>
      <c r="D38" s="150"/>
      <c r="E38" s="150"/>
      <c r="F38" s="248"/>
      <c r="G38" s="248"/>
      <c r="H38" s="23" t="s">
        <v>178</v>
      </c>
      <c r="I38" s="248"/>
      <c r="J38" s="248"/>
      <c r="K38" s="248">
        <f>AVERAGE(J26:K26)</f>
        <v>6566</v>
      </c>
      <c r="L38" s="248">
        <f>AVERAGE(K26:L26)</f>
        <v>6017.5</v>
      </c>
      <c r="M38" s="248">
        <f>AVERAGE(L26:M26)</f>
        <v>5345</v>
      </c>
      <c r="N38" s="248">
        <f>AVERAGE(M26:N26)</f>
        <v>5072</v>
      </c>
      <c r="O38" s="248">
        <f>AVERAGE(N26:O26)</f>
        <v>4478.5</v>
      </c>
    </row>
    <row r="39" spans="2:16" x14ac:dyDescent="0.25">
      <c r="B39" s="23"/>
      <c r="C39" s="23" t="s">
        <v>179</v>
      </c>
      <c r="D39" s="142"/>
      <c r="E39" s="142"/>
      <c r="F39" s="249"/>
      <c r="G39" s="250"/>
      <c r="H39" s="23" t="s">
        <v>179</v>
      </c>
      <c r="I39" s="250"/>
      <c r="J39" s="250"/>
      <c r="K39" s="250">
        <f>K40/K38</f>
        <v>1.8123667377398719E-2</v>
      </c>
      <c r="L39" s="250">
        <f>L40/L38</f>
        <v>1.7781470710427918E-2</v>
      </c>
      <c r="M39" s="250">
        <f>M40/M38</f>
        <v>1.9457436856875586E-2</v>
      </c>
      <c r="N39" s="250">
        <f>N40/N38</f>
        <v>1.9124605678233438E-2</v>
      </c>
      <c r="O39" s="250">
        <f>O40/O38</f>
        <v>1.8532990956793571E-2</v>
      </c>
    </row>
    <row r="40" spans="2:16" x14ac:dyDescent="0.25">
      <c r="B40" s="23"/>
      <c r="C40" s="23" t="s">
        <v>180</v>
      </c>
      <c r="D40" s="150"/>
      <c r="E40" s="150"/>
      <c r="F40" s="248"/>
      <c r="G40" s="300"/>
      <c r="H40" s="23" t="s">
        <v>180</v>
      </c>
      <c r="I40" s="300"/>
      <c r="J40" s="300"/>
      <c r="K40" s="300">
        <v>119</v>
      </c>
      <c r="L40" s="300">
        <v>107</v>
      </c>
      <c r="M40" s="300">
        <v>104</v>
      </c>
      <c r="N40" s="300">
        <v>97</v>
      </c>
      <c r="O40" s="300">
        <v>83</v>
      </c>
    </row>
    <row r="41" spans="2:16" x14ac:dyDescent="0.25">
      <c r="B41" s="23"/>
      <c r="C41" s="23"/>
      <c r="D41" s="23"/>
      <c r="E41" s="23"/>
      <c r="F41" s="225"/>
      <c r="G41" s="225"/>
      <c r="H41" s="225"/>
      <c r="I41" s="225"/>
      <c r="J41" s="241"/>
      <c r="K41" s="241"/>
    </row>
    <row r="42" spans="2:16" x14ac:dyDescent="0.25">
      <c r="B42" s="91" t="s">
        <v>181</v>
      </c>
      <c r="C42" s="23"/>
      <c r="D42" s="150"/>
      <c r="E42" s="150"/>
      <c r="F42" s="248"/>
      <c r="G42" s="251"/>
      <c r="H42" s="251"/>
      <c r="I42" s="251"/>
      <c r="J42" s="251"/>
      <c r="K42" s="248">
        <f ca="1">K35+K40</f>
        <v>119</v>
      </c>
      <c r="L42" s="248">
        <f ca="1">L35+L40</f>
        <v>107</v>
      </c>
      <c r="M42" s="248">
        <f ca="1">M35+M40</f>
        <v>115.48936868034237</v>
      </c>
      <c r="N42" s="248">
        <f ca="1">N35+N40</f>
        <v>121.194326307436</v>
      </c>
      <c r="O42" s="248">
        <f ca="1">O35+O40</f>
        <v>122.67594214946034</v>
      </c>
    </row>
    <row r="43" spans="2:16" x14ac:dyDescent="0.25">
      <c r="B43" s="23"/>
      <c r="C43" s="23"/>
      <c r="D43" s="54"/>
      <c r="E43" s="54"/>
      <c r="F43" s="252"/>
      <c r="G43" s="252"/>
      <c r="H43" s="252"/>
      <c r="I43" s="252"/>
      <c r="J43" s="241"/>
      <c r="K43" s="241"/>
    </row>
    <row r="44" spans="2:16" x14ac:dyDescent="0.25">
      <c r="B44" s="23"/>
      <c r="C44" s="23"/>
      <c r="D44" s="54"/>
      <c r="E44" s="54"/>
      <c r="F44" s="252"/>
      <c r="G44" s="252"/>
      <c r="H44" s="252"/>
      <c r="I44" s="252"/>
      <c r="J44" s="241"/>
      <c r="K44" s="241"/>
    </row>
    <row r="45" spans="2:16" x14ac:dyDescent="0.25">
      <c r="B45" s="91" t="s">
        <v>182</v>
      </c>
      <c r="C45" s="23" t="s">
        <v>178</v>
      </c>
      <c r="D45" s="150"/>
      <c r="E45" s="150"/>
      <c r="F45" s="248"/>
      <c r="G45" s="248"/>
      <c r="H45" s="23" t="s">
        <v>178</v>
      </c>
      <c r="I45" s="248"/>
      <c r="J45" s="248"/>
      <c r="K45" s="248">
        <f ca="1">AVERAGE(CF!M52:N52)</f>
        <v>1809.6108100526758</v>
      </c>
      <c r="L45" s="248">
        <f ca="1">AVERAGE(CF!N52:O52)</f>
        <v>1253.1719303948541</v>
      </c>
      <c r="M45" s="248">
        <f ca="1">AVERAGE(CF!O52:P52)</f>
        <v>765.45958392432965</v>
      </c>
      <c r="N45" s="248">
        <f ca="1">AVERAGE(CF!P52:Q52)</f>
        <v>802.67009210089759</v>
      </c>
      <c r="O45" s="248">
        <f ca="1">AVERAGE(CF!Q52:R52)</f>
        <v>648.74075560149231</v>
      </c>
    </row>
    <row r="46" spans="2:16" x14ac:dyDescent="0.25">
      <c r="B46" s="23"/>
      <c r="C46" s="23" t="s">
        <v>179</v>
      </c>
      <c r="D46" s="151"/>
      <c r="E46" s="151"/>
      <c r="F46" s="253"/>
      <c r="G46" s="253"/>
      <c r="H46" s="23" t="s">
        <v>179</v>
      </c>
      <c r="I46" s="253"/>
      <c r="J46" s="253"/>
      <c r="K46" s="253">
        <v>0.01</v>
      </c>
      <c r="L46" s="253">
        <v>0.01</v>
      </c>
      <c r="M46" s="253">
        <v>0.01</v>
      </c>
      <c r="N46" s="253">
        <v>0.01</v>
      </c>
      <c r="O46" s="253">
        <v>0.01</v>
      </c>
    </row>
    <row r="47" spans="2:16" x14ac:dyDescent="0.25">
      <c r="B47" s="23"/>
      <c r="C47" s="23" t="s">
        <v>183</v>
      </c>
      <c r="D47" s="54"/>
      <c r="E47" s="54"/>
      <c r="F47" s="252"/>
      <c r="G47" s="252"/>
      <c r="H47" s="23" t="s">
        <v>180</v>
      </c>
      <c r="I47" s="252"/>
      <c r="J47" s="252"/>
      <c r="K47" s="252">
        <f ca="1">K45*K46</f>
        <v>18.096108100526759</v>
      </c>
      <c r="L47" s="252">
        <f ca="1">L45*L46</f>
        <v>12.531719303948542</v>
      </c>
      <c r="M47" s="252">
        <f ca="1">M45*M46</f>
        <v>7.6545958392432967</v>
      </c>
      <c r="N47" s="252">
        <f ca="1">N45*N46</f>
        <v>8.0267009210089757</v>
      </c>
      <c r="O47" s="252">
        <f ca="1">O45*O46</f>
        <v>6.4874075560149231</v>
      </c>
    </row>
  </sheetData>
  <pageMargins left="0.7" right="0.7" top="0.75" bottom="0.75" header="0.3" footer="0.3"/>
  <pageSetup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Cover</vt:lpstr>
      <vt:lpstr>IS</vt:lpstr>
      <vt:lpstr>BS</vt:lpstr>
      <vt:lpstr>CF</vt:lpstr>
      <vt:lpstr>Ratios</vt:lpstr>
      <vt:lpstr>Working Capital</vt:lpstr>
      <vt:lpstr>Dep Capex </vt:lpstr>
      <vt:lpstr>Amort Intangible</vt:lpstr>
      <vt:lpstr>Other Long Term Asset Liability</vt:lpstr>
      <vt:lpstr>Shareholders Equity</vt:lpstr>
      <vt:lpstr>Shares Outstanding </vt:lpstr>
      <vt:lpstr>Debt</vt:lpstr>
    </vt:vector>
  </TitlesOfParts>
  <Company>rise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rise</dc:creator>
  <cp:lastModifiedBy>Jayesh Bali</cp:lastModifiedBy>
  <dcterms:created xsi:type="dcterms:W3CDTF">2013-06-17T08:47:06Z</dcterms:created>
  <dcterms:modified xsi:type="dcterms:W3CDTF">2019-01-22T09:52:53Z</dcterms:modified>
</cp:coreProperties>
</file>