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7A63492-DB13-4A4D-ACB1-046994DFC292}" xr6:coauthVersionLast="47" xr6:coauthVersionMax="47" xr10:uidLastSave="{00000000-0000-0000-0000-000000000000}"/>
  <bookViews>
    <workbookView xWindow="14295" yWindow="0" windowWidth="14610" windowHeight="15585" activeTab="1" xr2:uid="{B477F853-AE29-4030-96A1-A1C474A7867F}"/>
  </bookViews>
  <sheets>
    <sheet name="Info" sheetId="11" r:id="rId1"/>
    <sheet name="Dashboard" sheetId="1" r:id="rId2"/>
    <sheet name="CreditInfo" sheetId="9" r:id="rId3"/>
    <sheet name="DataProcessing" sheetId="6" r:id="rId4"/>
    <sheet name="QueryData" sheetId="4" r:id="rId5"/>
    <sheet name="CreditLimitData" sheetId="8" r:id="rId6"/>
    <sheet name="ClientsList" sheetId="7" r:id="rId7"/>
    <sheet name="ClientInfo" sheetId="5" r:id="rId8"/>
  </sheets>
  <definedNames>
    <definedName name="_xlnm._FilterDatabase" localSheetId="7" hidden="1">ClientInfo!$A$1:$D$11</definedName>
    <definedName name="_xlnm._FilterDatabase" localSheetId="2" hidden="1">CreditInfo!$A$2:$J$12</definedName>
    <definedName name="_xlnm._FilterDatabase" localSheetId="4" hidden="1">QueryData!$I$1:$Q$1</definedName>
    <definedName name="ExternalData_1" localSheetId="4" hidden="1">QueryData!$A$1:$H$937</definedName>
    <definedName name="_xlnm.Print_Titles" localSheetId="7">ClientInfo!$1:$1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2" i="4"/>
  <c r="W18" i="6" l="1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5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8" i="4"/>
  <c r="N359" i="4"/>
  <c r="N360" i="4"/>
  <c r="N361" i="4"/>
  <c r="N362" i="4"/>
  <c r="N363" i="4"/>
  <c r="N364" i="4"/>
  <c r="N365" i="4"/>
  <c r="N367" i="4"/>
  <c r="N369" i="4"/>
  <c r="N370" i="4"/>
  <c r="N371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6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5" i="4"/>
  <c r="N566" i="4"/>
  <c r="N567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8" i="4"/>
  <c r="N826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4" i="4"/>
  <c r="N895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6" i="4"/>
  <c r="N917" i="4"/>
  <c r="N918" i="4"/>
  <c r="N919" i="4"/>
  <c r="N920" i="4"/>
  <c r="N921" i="4"/>
  <c r="N924" i="4"/>
  <c r="N925" i="4"/>
  <c r="N926" i="4"/>
  <c r="N928" i="4"/>
  <c r="N929" i="4"/>
  <c r="N930" i="4"/>
  <c r="N931" i="4"/>
  <c r="N934" i="4"/>
  <c r="N935" i="4"/>
  <c r="N937" i="4"/>
  <c r="N2" i="4"/>
  <c r="L5" i="4" l="1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3" i="4"/>
  <c r="L4" i="4"/>
  <c r="L2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3" i="4"/>
  <c r="J4" i="4"/>
  <c r="J2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3" i="4"/>
  <c r="I4" i="4"/>
  <c r="I2" i="4"/>
  <c r="E4" i="9" l="1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F3" i="9"/>
  <c r="E3" i="9"/>
  <c r="D4" i="9"/>
  <c r="D5" i="9"/>
  <c r="D6" i="9"/>
  <c r="D7" i="9"/>
  <c r="D8" i="9"/>
  <c r="D9" i="9"/>
  <c r="D10" i="9"/>
  <c r="D11" i="9"/>
  <c r="D12" i="9"/>
  <c r="I2" i="1"/>
  <c r="D2" i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1" i="4"/>
  <c r="Q66" i="4"/>
  <c r="Q68" i="4"/>
  <c r="Q72" i="4"/>
  <c r="Q74" i="4"/>
  <c r="Q76" i="4"/>
  <c r="Q78" i="4"/>
  <c r="Q81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19" i="4"/>
  <c r="Q125" i="4"/>
  <c r="R7" i="6"/>
  <c r="J17" i="6"/>
  <c r="I22" i="6"/>
  <c r="J7" i="6"/>
  <c r="A8" i="6"/>
  <c r="A9" i="6"/>
  <c r="A10" i="6"/>
  <c r="A11" i="6"/>
  <c r="A12" i="6"/>
  <c r="A13" i="6"/>
  <c r="A14" i="6"/>
  <c r="A15" i="6"/>
  <c r="A16" i="6"/>
  <c r="A17" i="6"/>
  <c r="A18" i="6"/>
  <c r="A19" i="6"/>
  <c r="A7" i="6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K21" i="6" l="1"/>
  <c r="I8" i="1" s="1"/>
  <c r="G19" i="6"/>
  <c r="D19" i="6"/>
  <c r="F19" i="6"/>
  <c r="L41" i="6" s="1"/>
  <c r="E19" i="6"/>
  <c r="X22" i="1" s="1"/>
  <c r="G11" i="6"/>
  <c r="J33" i="6" s="1"/>
  <c r="F11" i="6"/>
  <c r="L33" i="6" s="1"/>
  <c r="D11" i="6"/>
  <c r="E11" i="6"/>
  <c r="P22" i="1" s="1"/>
  <c r="G18" i="6"/>
  <c r="D18" i="6"/>
  <c r="F18" i="6"/>
  <c r="L40" i="6" s="1"/>
  <c r="E18" i="6"/>
  <c r="W22" i="1" s="1"/>
  <c r="G10" i="6"/>
  <c r="J32" i="6" s="1"/>
  <c r="D10" i="6"/>
  <c r="F10" i="6"/>
  <c r="L32" i="6" s="1"/>
  <c r="E10" i="6"/>
  <c r="O22" i="1" s="1"/>
  <c r="G9" i="6"/>
  <c r="J31" i="6" s="1"/>
  <c r="D9" i="6"/>
  <c r="E9" i="6"/>
  <c r="N22" i="1" s="1"/>
  <c r="F9" i="6"/>
  <c r="L31" i="6" s="1"/>
  <c r="E15" i="6"/>
  <c r="T22" i="1" s="1"/>
  <c r="D15" i="6"/>
  <c r="F15" i="6"/>
  <c r="L37" i="6" s="1"/>
  <c r="G15" i="6"/>
  <c r="J37" i="6" s="1"/>
  <c r="G17" i="6"/>
  <c r="J39" i="6" s="1"/>
  <c r="D17" i="6"/>
  <c r="E17" i="6"/>
  <c r="V22" i="1" s="1"/>
  <c r="F17" i="6"/>
  <c r="L39" i="6" s="1"/>
  <c r="E16" i="6"/>
  <c r="G16" i="6"/>
  <c r="D16" i="6"/>
  <c r="F16" i="6"/>
  <c r="E8" i="6"/>
  <c r="M22" i="1" s="1"/>
  <c r="F8" i="6"/>
  <c r="L30" i="6" s="1"/>
  <c r="G8" i="6"/>
  <c r="J30" i="6" s="1"/>
  <c r="D8" i="6"/>
  <c r="E14" i="6"/>
  <c r="S22" i="1" s="1"/>
  <c r="F14" i="6"/>
  <c r="L36" i="6" s="1"/>
  <c r="G14" i="6"/>
  <c r="J36" i="6" s="1"/>
  <c r="D14" i="6"/>
  <c r="F13" i="6"/>
  <c r="L35" i="6" s="1"/>
  <c r="E13" i="6"/>
  <c r="R22" i="1" s="1"/>
  <c r="G13" i="6"/>
  <c r="J35" i="6" s="1"/>
  <c r="D13" i="6"/>
  <c r="F12" i="6"/>
  <c r="L34" i="6" s="1"/>
  <c r="G12" i="6"/>
  <c r="J34" i="6" s="1"/>
  <c r="D12" i="6"/>
  <c r="E12" i="6"/>
  <c r="Q22" i="1" s="1"/>
  <c r="F7" i="6"/>
  <c r="L29" i="6" s="1"/>
  <c r="G7" i="6"/>
  <c r="J29" i="6" s="1"/>
  <c r="D7" i="6"/>
  <c r="E7" i="6"/>
  <c r="L22" i="1" s="1"/>
  <c r="G9" i="9"/>
  <c r="G11" i="9"/>
  <c r="G10" i="9"/>
  <c r="H10" i="9" s="1"/>
  <c r="G5" i="9"/>
  <c r="G12" i="9"/>
  <c r="H12" i="9" s="1"/>
  <c r="G7" i="9"/>
  <c r="H7" i="9" s="1"/>
  <c r="G3" i="9"/>
  <c r="H3" i="9" s="1"/>
  <c r="G6" i="9"/>
  <c r="H6" i="9" s="1"/>
  <c r="G4" i="9"/>
  <c r="G8" i="9"/>
  <c r="M41" i="6"/>
  <c r="M36" i="6"/>
  <c r="K32" i="6"/>
  <c r="K31" i="6"/>
  <c r="M35" i="6"/>
  <c r="K29" i="6"/>
  <c r="M37" i="6"/>
  <c r="K33" i="6"/>
  <c r="M30" i="6"/>
  <c r="M32" i="6"/>
  <c r="M29" i="6"/>
  <c r="K41" i="6"/>
  <c r="K40" i="6"/>
  <c r="M40" i="6"/>
  <c r="K35" i="6"/>
  <c r="M33" i="6"/>
  <c r="M31" i="6"/>
  <c r="M34" i="6"/>
  <c r="K39" i="6"/>
  <c r="K36" i="6"/>
  <c r="K38" i="6"/>
  <c r="M38" i="6"/>
  <c r="K37" i="6"/>
  <c r="K30" i="6"/>
  <c r="M39" i="6"/>
  <c r="K34" i="6"/>
  <c r="K22" i="6"/>
  <c r="J41" i="6"/>
  <c r="J40" i="6"/>
  <c r="I5" i="9" l="1"/>
  <c r="H5" i="9"/>
  <c r="I11" i="9"/>
  <c r="H11" i="9"/>
  <c r="I8" i="9"/>
  <c r="H8" i="9"/>
  <c r="I4" i="9"/>
  <c r="H4" i="9"/>
  <c r="I9" i="9"/>
  <c r="H9" i="9"/>
  <c r="I12" i="9"/>
  <c r="I6" i="9"/>
  <c r="I3" i="9"/>
  <c r="I10" i="9"/>
  <c r="I7" i="9"/>
  <c r="K17" i="6"/>
  <c r="I16" i="1" s="1"/>
  <c r="U22" i="1"/>
  <c r="L17" i="6"/>
  <c r="I17" i="1" s="1"/>
  <c r="J38" i="6"/>
  <c r="L38" i="6"/>
  <c r="N21" i="6"/>
  <c r="I9" i="1"/>
  <c r="K23" i="6"/>
  <c r="K25" i="6" l="1"/>
  <c r="I5" i="1" s="1"/>
  <c r="O21" i="6"/>
  <c r="I10" i="1"/>
  <c r="M17" i="6"/>
  <c r="N17" i="6" s="1"/>
  <c r="N147" i="4" l="1"/>
  <c r="N475" i="4"/>
  <c r="N819" i="4"/>
  <c r="N827" i="4"/>
  <c r="N915" i="4"/>
  <c r="N923" i="4"/>
  <c r="N564" i="4"/>
  <c r="N820" i="4"/>
  <c r="N828" i="4"/>
  <c r="N892" i="4"/>
  <c r="N932" i="4"/>
  <c r="N372" i="4"/>
  <c r="N922" i="4"/>
  <c r="N357" i="4"/>
  <c r="N373" i="4"/>
  <c r="N477" i="4"/>
  <c r="N821" i="4"/>
  <c r="N893" i="4"/>
  <c r="N933" i="4"/>
  <c r="N822" i="4"/>
  <c r="N824" i="4"/>
  <c r="N896" i="4"/>
  <c r="N898" i="4"/>
  <c r="N366" i="4"/>
  <c r="N478" i="4"/>
  <c r="N550" i="4"/>
  <c r="N823" i="4"/>
  <c r="N816" i="4"/>
  <c r="N143" i="4"/>
  <c r="S7" i="6" s="1" a="1"/>
  <c r="N479" i="4"/>
  <c r="N927" i="4"/>
  <c r="N936" i="4"/>
  <c r="N144" i="4"/>
  <c r="N200" i="4"/>
  <c r="N312" i="4"/>
  <c r="N368" i="4"/>
  <c r="N568" i="4"/>
  <c r="N656" i="4"/>
  <c r="N201" i="4"/>
  <c r="N657" i="4"/>
  <c r="N817" i="4"/>
  <c r="N825" i="4"/>
  <c r="N897" i="4"/>
  <c r="N146" i="4"/>
  <c r="K7" i="6"/>
  <c r="N7" i="6"/>
  <c r="Q140" i="4"/>
  <c r="Q82" i="4"/>
  <c r="Q139" i="4"/>
  <c r="Q141" i="4"/>
  <c r="Q136" i="4"/>
  <c r="Q138" i="4"/>
  <c r="Q137" i="4"/>
  <c r="Q79" i="4"/>
  <c r="Q134" i="4"/>
  <c r="Q80" i="4"/>
  <c r="Q135" i="4"/>
  <c r="Q130" i="4"/>
  <c r="Q133" i="4"/>
  <c r="Q132" i="4"/>
  <c r="Q129" i="4"/>
  <c r="Q131" i="4"/>
  <c r="Q77" i="4"/>
  <c r="Q128" i="4"/>
  <c r="Q127" i="4"/>
  <c r="Q126" i="4"/>
  <c r="Q75" i="4"/>
  <c r="Q123" i="4"/>
  <c r="Q122" i="4"/>
  <c r="Q73" i="4"/>
  <c r="Q124" i="4"/>
  <c r="Q70" i="4"/>
  <c r="Q71" i="4"/>
  <c r="Q120" i="4"/>
  <c r="Q121" i="4"/>
  <c r="Q117" i="4"/>
  <c r="Q118" i="4"/>
  <c r="Q69" i="4"/>
  <c r="Q116" i="4"/>
  <c r="Q113" i="4"/>
  <c r="Q115" i="4"/>
  <c r="Q67" i="4"/>
  <c r="Q112" i="4"/>
  <c r="Q114" i="4"/>
  <c r="Q65" i="4"/>
  <c r="Q111" i="4"/>
  <c r="L21" i="1"/>
  <c r="Q64" i="4"/>
  <c r="Q110" i="4"/>
  <c r="Q109" i="4"/>
  <c r="Q62" i="4"/>
  <c r="Q63" i="4"/>
  <c r="Q108" i="4"/>
  <c r="Q102" i="4"/>
  <c r="Q104" i="4"/>
  <c r="Q107" i="4"/>
  <c r="Q106" i="4"/>
  <c r="S21" i="1"/>
  <c r="M21" i="1"/>
  <c r="R21" i="1"/>
  <c r="X21" i="1"/>
  <c r="V21" i="1"/>
  <c r="Q21" i="1"/>
  <c r="T21" i="1"/>
  <c r="W21" i="1"/>
  <c r="P21" i="1"/>
  <c r="N21" i="1"/>
  <c r="U21" i="1"/>
  <c r="O21" i="1"/>
  <c r="Q105" i="4"/>
  <c r="Q101" i="4"/>
  <c r="Q60" i="4"/>
  <c r="Q103" i="4"/>
  <c r="W17" i="6" l="1"/>
  <c r="V11" i="6"/>
  <c r="U16" i="6"/>
  <c r="T17" i="6"/>
  <c r="W12" i="6"/>
  <c r="U11" i="6"/>
  <c r="W13" i="6"/>
  <c r="U12" i="6"/>
  <c r="W16" i="6"/>
  <c r="T16" i="6"/>
  <c r="V12" i="6"/>
  <c r="U17" i="6"/>
  <c r="W11" i="6"/>
  <c r="V13" i="6"/>
  <c r="T11" i="6"/>
  <c r="V14" i="6"/>
  <c r="T12" i="6"/>
  <c r="V15" i="6"/>
  <c r="T13" i="6"/>
  <c r="U15" i="6"/>
  <c r="W14" i="6"/>
  <c r="V16" i="6"/>
  <c r="U13" i="6"/>
  <c r="T14" i="6"/>
  <c r="W15" i="6"/>
  <c r="V17" i="6"/>
  <c r="U14" i="6"/>
  <c r="T15" i="6"/>
  <c r="S7" i="6"/>
  <c r="V9" i="6"/>
  <c r="W8" i="6"/>
  <c r="V10" i="6"/>
  <c r="W9" i="6"/>
  <c r="T8" i="6"/>
  <c r="U8" i="6"/>
  <c r="T10" i="6"/>
  <c r="U9" i="6"/>
  <c r="U10" i="6"/>
  <c r="T9" i="6"/>
  <c r="W10" i="6"/>
  <c r="V8" i="6"/>
  <c r="O7" i="6"/>
  <c r="L7" i="6"/>
  <c r="V7" i="6" l="1"/>
  <c r="W7" i="6"/>
  <c r="U7" i="6"/>
  <c r="T7" i="6"/>
  <c r="B45" i="1"/>
  <c r="F47" i="1"/>
  <c r="B44" i="1"/>
  <c r="F46" i="1"/>
  <c r="F45" i="1"/>
  <c r="E46" i="1"/>
  <c r="C46" i="1"/>
  <c r="F48" i="1"/>
  <c r="D45" i="1"/>
  <c r="D46" i="1"/>
  <c r="D44" i="1"/>
  <c r="B46" i="1"/>
  <c r="B47" i="1"/>
  <c r="B48" i="1"/>
  <c r="D48" i="1"/>
  <c r="D47" i="1"/>
  <c r="E48" i="1"/>
  <c r="C47" i="1"/>
  <c r="C48" i="1"/>
  <c r="E47" i="1"/>
  <c r="D43" i="1"/>
  <c r="B43" i="1"/>
  <c r="B40" i="1"/>
  <c r="D42" i="1"/>
  <c r="B42" i="1"/>
  <c r="D41" i="1"/>
  <c r="B41" i="1"/>
  <c r="D40" i="1"/>
  <c r="D39" i="1"/>
  <c r="B39" i="1"/>
  <c r="D37" i="1"/>
  <c r="D38" i="1"/>
  <c r="B38" i="1"/>
  <c r="B37" i="1"/>
  <c r="B36" i="1"/>
  <c r="D36" i="1"/>
  <c r="B35" i="1"/>
  <c r="D35" i="1"/>
  <c r="B34" i="1"/>
  <c r="D32" i="1"/>
  <c r="B33" i="1"/>
  <c r="D34" i="1"/>
  <c r="B32" i="1"/>
  <c r="D33" i="1"/>
  <c r="D29" i="1"/>
  <c r="B31" i="1"/>
  <c r="D30" i="1"/>
  <c r="B30" i="1"/>
  <c r="B29" i="1"/>
  <c r="D31" i="1"/>
  <c r="F42" i="1"/>
  <c r="C43" i="1"/>
  <c r="C44" i="1"/>
  <c r="E43" i="1"/>
  <c r="C45" i="1"/>
  <c r="E44" i="1"/>
  <c r="E45" i="1"/>
  <c r="F43" i="1"/>
  <c r="F44" i="1"/>
  <c r="F40" i="1"/>
  <c r="E40" i="1"/>
  <c r="E41" i="1"/>
  <c r="C40" i="1"/>
  <c r="E42" i="1"/>
  <c r="C41" i="1"/>
  <c r="C42" i="1"/>
  <c r="F41" i="1"/>
  <c r="F36" i="1"/>
  <c r="F31" i="1"/>
  <c r="F35" i="1"/>
  <c r="C33" i="1"/>
  <c r="F39" i="1"/>
  <c r="F37" i="1"/>
  <c r="E33" i="1"/>
  <c r="E32" i="1"/>
  <c r="E31" i="1"/>
  <c r="F34" i="1"/>
  <c r="F33" i="1"/>
  <c r="F38" i="1"/>
  <c r="C32" i="1"/>
  <c r="E35" i="1"/>
  <c r="C34" i="1"/>
  <c r="E36" i="1"/>
  <c r="C35" i="1"/>
  <c r="E37" i="1"/>
  <c r="C36" i="1"/>
  <c r="E38" i="1"/>
  <c r="C37" i="1"/>
  <c r="E39" i="1"/>
  <c r="C38" i="1"/>
  <c r="E34" i="1"/>
  <c r="C39" i="1"/>
  <c r="F32" i="1"/>
  <c r="C31" i="1"/>
  <c r="E29" i="1"/>
  <c r="F30" i="1"/>
  <c r="E30" i="1"/>
  <c r="C30" i="1"/>
  <c r="C29" i="1"/>
  <c r="F29" i="1"/>
  <c r="E28" i="1" l="1"/>
  <c r="D28" i="1"/>
  <c r="B28" i="1"/>
  <c r="C28" i="1"/>
  <c r="D24" i="1" s="1"/>
  <c r="F28" i="1"/>
  <c r="D2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73F94-25D6-4B1A-AC37-2A7CB9BD268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<sst xmlns="http://schemas.openxmlformats.org/spreadsheetml/2006/main" count="2195" uniqueCount="137">
  <si>
    <t>CODE</t>
  </si>
  <si>
    <t>Cust #</t>
  </si>
  <si>
    <t>Type</t>
  </si>
  <si>
    <t>Doc. No.</t>
  </si>
  <si>
    <t>Posting Date</t>
  </si>
  <si>
    <t>C/D (LC)</t>
  </si>
  <si>
    <t>Balance Due (LC)</t>
  </si>
  <si>
    <t>Offset RC #</t>
  </si>
  <si>
    <t>RC Date</t>
  </si>
  <si>
    <t>Pay Term</t>
  </si>
  <si>
    <t>RC</t>
  </si>
  <si>
    <t>JE</t>
  </si>
  <si>
    <t>IN</t>
  </si>
  <si>
    <t>CN</t>
  </si>
  <si>
    <t xml:space="preserve"> - </t>
  </si>
  <si>
    <t xml:space="preserve">from </t>
  </si>
  <si>
    <t>_Data Sheets_Local Aging</t>
  </si>
  <si>
    <t>Payterm</t>
  </si>
  <si>
    <t>Customer Name</t>
  </si>
  <si>
    <t>Active</t>
  </si>
  <si>
    <t>COD</t>
  </si>
  <si>
    <t>NET30</t>
  </si>
  <si>
    <t>DueDate</t>
  </si>
  <si>
    <t>DaysToPay</t>
  </si>
  <si>
    <t>Aging</t>
  </si>
  <si>
    <t>updated</t>
  </si>
  <si>
    <t>NET 30</t>
  </si>
  <si>
    <t>Name</t>
  </si>
  <si>
    <t>Year</t>
  </si>
  <si>
    <t>Month</t>
  </si>
  <si>
    <t>SALES</t>
  </si>
  <si>
    <t>Balance</t>
  </si>
  <si>
    <t>Credit Limit</t>
  </si>
  <si>
    <t>%</t>
  </si>
  <si>
    <t>Credit 건강도</t>
  </si>
  <si>
    <t>CardCode</t>
  </si>
  <si>
    <t>CardName</t>
  </si>
  <si>
    <t>SlpName</t>
  </si>
  <si>
    <t>CreditLine</t>
  </si>
  <si>
    <t>Remain</t>
  </si>
  <si>
    <t>GroupName</t>
  </si>
  <si>
    <t>LOCAL</t>
  </si>
  <si>
    <t>A - B</t>
  </si>
  <si>
    <t>=FILTER(Sheet1!A1:A5000, (Sheet1!C1:C5000 = A1) * (Sheet1!B1:B5000 = "Unpaid"), "No unpaid invoices for this customer")</t>
  </si>
  <si>
    <t>=FILTER(Sheet1!A1:A5000, (Sheet1!C1:C5000 = A1) * (Sheet1!D1:D5000 &gt; 0), "No aging invoices for this customer")</t>
  </si>
  <si>
    <t>Invoice #</t>
  </si>
  <si>
    <t>Aging dates</t>
  </si>
  <si>
    <t>Due Date</t>
  </si>
  <si>
    <t>Date</t>
  </si>
  <si>
    <t>Payment Term</t>
  </si>
  <si>
    <t>CREDIT LIMIT</t>
  </si>
  <si>
    <t>BALANCE</t>
  </si>
  <si>
    <t>매출-GRO</t>
  </si>
  <si>
    <t>평균-GRO</t>
  </si>
  <si>
    <t>매출-FISH</t>
  </si>
  <si>
    <t>평균-FISH</t>
  </si>
  <si>
    <t>Client Name</t>
  </si>
  <si>
    <t>Client_01</t>
  </si>
  <si>
    <t>Client_02</t>
  </si>
  <si>
    <t>Remaining Credit</t>
  </si>
  <si>
    <t>Client_03</t>
  </si>
  <si>
    <t>Client_04</t>
  </si>
  <si>
    <t>Client_05</t>
  </si>
  <si>
    <t>Client_06</t>
  </si>
  <si>
    <t>Client_07</t>
  </si>
  <si>
    <t>Client_08</t>
  </si>
  <si>
    <t>Client_09</t>
  </si>
  <si>
    <t>Client_10</t>
  </si>
  <si>
    <t>Notes</t>
  </si>
  <si>
    <t>Updated</t>
  </si>
  <si>
    <t>Days Overdue</t>
  </si>
  <si>
    <t>Invoice Date</t>
  </si>
  <si>
    <t>Amount</t>
  </si>
  <si>
    <t>Total Balance</t>
  </si>
  <si>
    <t>Balance Overdue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</si>
  <si>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</si>
  <si>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</si>
  <si>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</si>
  <si>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</si>
  <si>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</si>
  <si>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</si>
  <si>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</si>
  <si>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</si>
  <si>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</si>
  <si>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</si>
  <si>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</si>
  <si>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</si>
  <si>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Outstanding Invoices</t>
  </si>
  <si>
    <t>Updated:</t>
  </si>
  <si>
    <t>Average Days to Pay</t>
  </si>
  <si>
    <t>Order Frequency/month</t>
  </si>
  <si>
    <t>CREDIT HEALTH</t>
  </si>
  <si>
    <t>Recent 3 months</t>
  </si>
  <si>
    <t>Avearge Sales:</t>
  </si>
  <si>
    <t>/month</t>
  </si>
  <si>
    <t>Avg. Order frequency</t>
  </si>
  <si>
    <t>times</t>
  </si>
  <si>
    <t>(per month)</t>
  </si>
  <si>
    <t>Avg. DTP</t>
  </si>
  <si>
    <t>Ord. Frq.</t>
  </si>
  <si>
    <t>Avg. Ord.</t>
  </si>
  <si>
    <t>Sales</t>
  </si>
  <si>
    <t>Credit Imminent?</t>
  </si>
  <si>
    <t>Credit Health</t>
  </si>
  <si>
    <t>3m Avg.</t>
  </si>
  <si>
    <t>3m Frq.</t>
  </si>
  <si>
    <t>Imminent?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</si>
  <si>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</si>
  <si>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</si>
  <si>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</si>
  <si>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</si>
  <si>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</si>
  <si>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</si>
  <si>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</si>
  <si>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</si>
  <si>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</si>
  <si>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</si>
  <si>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SAP&gt;REPORTS&gt;CUSTOMER BALANCE</t>
  </si>
  <si>
    <t>updated:</t>
  </si>
  <si>
    <t>Balance(30+)</t>
  </si>
  <si>
    <t xml:space="preserve">   Select Client Code Below</t>
  </si>
  <si>
    <t>This project presents an Excel-based dashboard built using mock data to highlight Client Payment Behaviors.</t>
  </si>
  <si>
    <t>Focus Metrics:</t>
  </si>
  <si>
    <t>Features:</t>
  </si>
  <si>
    <t>The primary dataset comes from randomized mock data. Dashboard is designed to query data from mock data sheet.</t>
  </si>
  <si>
    <t>Amount figures were created using Excel’s RANDBETWEEN() function for variability</t>
  </si>
  <si>
    <t>CLIENT PAYMENT BEHAVIOR ANALYSIS DASHBOARD</t>
  </si>
  <si>
    <t>A sample Excel dashboard designed for Client Payment Behavior Analysis, showcasing key metrics with interactive filtering.</t>
  </si>
  <si>
    <t>About This Project:</t>
  </si>
  <si>
    <t>- Credit Limit Utilization: Outstanding balance / Credit limit</t>
  </si>
  <si>
    <t>- Summary (line chart) of monthly order volumes: Indicating monthly order trends</t>
  </si>
  <si>
    <t>- Average Days to Pay: Indicating how many days on average it takes for client to make payments</t>
  </si>
  <si>
    <t>- Average Amount per Order: Indicating scale of order per a single order</t>
  </si>
  <si>
    <t>- Displaying list of outstanding invoices</t>
  </si>
  <si>
    <t>- Dynamic filters by clients</t>
  </si>
  <si>
    <t>- Clean, visual layout to assess client orders and payment behavior &amp; decision-making</t>
  </si>
  <si>
    <t> 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</si>
</sst>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[$$-409]#,##0.00"/>
    <numFmt numFmtId="167" formatCode="yy/mm"/>
    <numFmt numFmtId="168" formatCode="[$$-409]#,##0"/>
  </numFmts>
  <fonts count="14">
    <font>
      <sz val="11"/>
      <color theme="1"/>
      <name val="calibri"/>
      <family val="2"/>
      <charset val="129"/>
    </font>
    <font>
      <sz val="11"/>
      <color theme="1"/>
      <name val="calibri"/>
      <family val="2"/>
      <charset val="129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8"/>
      <color theme="1"/>
      <name val="calibri"/>
      <family val="2"/>
      <charset val="129"/>
    </font>
    <font>
      <sz val="14"/>
      <color theme="1"/>
      <name val="calibri"/>
      <family val="2"/>
      <charset val="129"/>
    </font>
    <font>
      <b/>
      <sz val="14"/>
      <color rgb="FFFF0000"/>
      <name val="calibri"/>
      <family val="2"/>
    </font>
    <font>
      <sz val="12"/>
      <color theme="1"/>
      <name val="calibri"/>
      <family val="2"/>
      <charset val="129"/>
    </font>
    <font>
      <sz val="16"/>
      <color theme="1"/>
      <name val="calibri"/>
      <family val="2"/>
      <charset val="129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u/>
      <sz val="12"/>
      <color theme="1"/>
      <name val="calibri"/>
      <family val="2"/>
      <charset val="129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  <xf numFmtId="14" fontId="0" fillId="3" borderId="0" xfId="0" applyNumberFormat="1" applyFill="1"/>
    <xf numFmtId="0" fontId="0" fillId="4" borderId="0" xfId="0" applyFill="1"/>
    <xf numFmtId="4" fontId="0" fillId="0" borderId="0" xfId="0" applyNumberFormat="1"/>
    <xf numFmtId="0" fontId="0" fillId="5" borderId="0" xfId="0" applyFill="1"/>
    <xf numFmtId="164" fontId="0" fillId="5" borderId="0" xfId="0" applyNumberFormat="1" applyFill="1"/>
    <xf numFmtId="0" fontId="0" fillId="3" borderId="0" xfId="0" applyFill="1"/>
    <xf numFmtId="4" fontId="0" fillId="5" borderId="0" xfId="0" applyNumberFormat="1" applyFill="1"/>
    <xf numFmtId="0" fontId="2" fillId="0" borderId="0" xfId="0" applyFont="1"/>
    <xf numFmtId="165" fontId="0" fillId="5" borderId="0" xfId="1" applyNumberFormat="1" applyFont="1" applyFill="1"/>
    <xf numFmtId="0" fontId="0" fillId="5" borderId="0" xfId="0" applyFill="1" applyAlignment="1">
      <alignment horizontal="center"/>
    </xf>
    <xf numFmtId="1" fontId="0" fillId="0" borderId="0" xfId="0" applyNumberFormat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166" fontId="0" fillId="5" borderId="0" xfId="0" applyNumberFormat="1" applyFill="1"/>
    <xf numFmtId="0" fontId="0" fillId="0" borderId="0" xfId="0" applyAlignment="1">
      <alignment horizontal="right"/>
    </xf>
    <xf numFmtId="167" fontId="0" fillId="0" borderId="0" xfId="0" applyNumberFormat="1"/>
    <xf numFmtId="0" fontId="2" fillId="4" borderId="0" xfId="0" applyFont="1" applyFill="1"/>
    <xf numFmtId="3" fontId="0" fillId="5" borderId="0" xfId="0" applyNumberFormat="1" applyFill="1"/>
    <xf numFmtId="0" fontId="5" fillId="4" borderId="0" xfId="0" applyFont="1" applyFill="1" applyAlignment="1">
      <alignment horizontal="right"/>
    </xf>
    <xf numFmtId="166" fontId="3" fillId="4" borderId="0" xfId="0" applyNumberFormat="1" applyFont="1" applyFill="1"/>
    <xf numFmtId="166" fontId="6" fillId="4" borderId="0" xfId="0" applyNumberFormat="1" applyFont="1" applyFill="1"/>
    <xf numFmtId="0" fontId="7" fillId="4" borderId="0" xfId="0" applyFont="1" applyFill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Alignment="1">
      <alignment horizontal="right"/>
    </xf>
    <xf numFmtId="0" fontId="7" fillId="4" borderId="2" xfId="0" applyFont="1" applyFill="1" applyBorder="1"/>
    <xf numFmtId="0" fontId="8" fillId="4" borderId="0" xfId="0" applyFont="1" applyFill="1" applyAlignment="1">
      <alignment horizontal="center"/>
    </xf>
    <xf numFmtId="0" fontId="7" fillId="4" borderId="0" xfId="0" quotePrefix="1" applyFont="1" applyFill="1"/>
    <xf numFmtId="164" fontId="7" fillId="4" borderId="0" xfId="0" applyNumberFormat="1" applyFont="1" applyFill="1"/>
    <xf numFmtId="0" fontId="5" fillId="4" borderId="2" xfId="0" applyFont="1" applyFill="1" applyBorder="1" applyAlignment="1">
      <alignment horizontal="center"/>
    </xf>
    <xf numFmtId="0" fontId="4" fillId="0" borderId="3" xfId="0" applyFont="1" applyBorder="1"/>
    <xf numFmtId="0" fontId="0" fillId="4" borderId="4" xfId="0" applyFill="1" applyBorder="1"/>
    <xf numFmtId="0" fontId="0" fillId="4" borderId="5" xfId="0" applyFill="1" applyBorder="1"/>
    <xf numFmtId="14" fontId="0" fillId="2" borderId="2" xfId="0" applyNumberFormat="1" applyFill="1" applyBorder="1"/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0" fillId="2" borderId="2" xfId="0" applyNumberFormat="1" applyFill="1" applyBorder="1"/>
    <xf numFmtId="1" fontId="0" fillId="2" borderId="2" xfId="0" applyNumberFormat="1" applyFill="1" applyBorder="1" applyAlignment="1">
      <alignment horizontal="center"/>
    </xf>
    <xf numFmtId="1" fontId="2" fillId="2" borderId="2" xfId="0" applyNumberFormat="1" applyFont="1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" fontId="0" fillId="0" borderId="6" xfId="0" applyNumberFormat="1" applyBorder="1"/>
    <xf numFmtId="0" fontId="0" fillId="0" borderId="8" xfId="0" applyBorder="1"/>
    <xf numFmtId="0" fontId="0" fillId="0" borderId="10" xfId="0" applyBorder="1"/>
    <xf numFmtId="4" fontId="0" fillId="0" borderId="7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" fontId="0" fillId="0" borderId="10" xfId="0" applyNumberFormat="1" applyBorder="1"/>
    <xf numFmtId="4" fontId="0" fillId="0" borderId="8" xfId="0" applyNumberFormat="1" applyBorder="1"/>
    <xf numFmtId="165" fontId="0" fillId="0" borderId="9" xfId="1" applyNumberFormat="1" applyFont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3" borderId="0" xfId="0" applyFont="1" applyFill="1"/>
    <xf numFmtId="14" fontId="0" fillId="3" borderId="0" xfId="0" applyNumberFormat="1" applyFill="1" applyAlignment="1">
      <alignment horizontal="left"/>
    </xf>
    <xf numFmtId="0" fontId="0" fillId="4" borderId="2" xfId="0" applyFill="1" applyBorder="1"/>
    <xf numFmtId="166" fontId="7" fillId="0" borderId="0" xfId="0" applyNumberFormat="1" applyFont="1" applyAlignment="1">
      <alignment horizontal="right"/>
    </xf>
    <xf numFmtId="4" fontId="2" fillId="4" borderId="0" xfId="0" applyNumberFormat="1" applyFont="1" applyFill="1"/>
    <xf numFmtId="168" fontId="7" fillId="4" borderId="0" xfId="0" applyNumberFormat="1" applyFont="1" applyFill="1"/>
    <xf numFmtId="4" fontId="0" fillId="4" borderId="0" xfId="0" applyNumberFormat="1" applyFill="1"/>
    <xf numFmtId="14" fontId="9" fillId="3" borderId="0" xfId="0" applyNumberFormat="1" applyFont="1" applyFill="1"/>
    <xf numFmtId="166" fontId="0" fillId="0" borderId="0" xfId="0" applyNumberFormat="1"/>
    <xf numFmtId="4" fontId="10" fillId="4" borderId="0" xfId="0" applyNumberFormat="1" applyFont="1" applyFill="1"/>
    <xf numFmtId="0" fontId="12" fillId="4" borderId="2" xfId="0" applyFont="1" applyFill="1" applyBorder="1"/>
    <xf numFmtId="0" fontId="9" fillId="3" borderId="0" xfId="0" applyFont="1" applyFill="1" applyAlignment="1">
      <alignment horizontal="right"/>
    </xf>
    <xf numFmtId="0" fontId="9" fillId="3" borderId="2" xfId="0" applyFont="1" applyFill="1" applyBorder="1"/>
    <xf numFmtId="0" fontId="11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3" fillId="0" borderId="0" xfId="0" applyFont="1"/>
  </cellXfs>
  <cellStyles count="2">
    <cellStyle name="Normal" xfId="0" builtinId="0"/>
    <cellStyle name="Percent" xfId="1" builtinId="5"/>
  </cellStyles>
  <dxfs count="20"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FF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theme="1"/>
      </font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1"/>
          <c:tx>
            <c:strRef>
              <c:f>DataProcessing!$J$17</c:f>
              <c:strCache>
                <c:ptCount val="1"/>
                <c:pt idx="0">
                  <c:v>C05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1C-4C78-9BF2-E260F532A97D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1C-4C78-9BF2-E260F532A97D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1C-4C78-9BF2-E260F532A97D}"/>
              </c:ext>
            </c:extLst>
          </c:dPt>
          <c:dPt>
            <c:idx val="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1C-4C78-9BF2-E260F532A97D}"/>
              </c:ext>
            </c:extLst>
          </c:dPt>
          <c:dPt>
            <c:idx val="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31C-4C78-9BF2-E260F532A97D}"/>
              </c:ext>
            </c:extLst>
          </c:dPt>
          <c:dPt>
            <c:idx val="5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31C-4C78-9BF2-E260F532A97D}"/>
              </c:ext>
            </c:extLst>
          </c:dPt>
          <c:dPt>
            <c:idx val="6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31C-4C78-9BF2-E260F532A97D}"/>
              </c:ext>
            </c:extLst>
          </c:dPt>
          <c:dPt>
            <c:idx val="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31C-4C78-9BF2-E260F532A97D}"/>
              </c:ext>
            </c:extLst>
          </c:dPt>
          <c:dPt>
            <c:idx val="8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31C-4C78-9BF2-E260F532A97D}"/>
              </c:ext>
            </c:extLst>
          </c:dPt>
          <c:dPt>
            <c:idx val="9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31C-4C78-9BF2-E260F532A97D}"/>
              </c:ext>
            </c:extLst>
          </c:dPt>
          <c:dPt>
            <c:idx val="1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31C-4C78-9BF2-E260F532A97D}"/>
              </c:ext>
            </c:extLst>
          </c:dPt>
          <c:dPt>
            <c:idx val="1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31C-4C78-9BF2-E260F532A97D}"/>
              </c:ext>
            </c:extLst>
          </c:dPt>
          <c:dPt>
            <c:idx val="1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31C-4C78-9BF2-E260F532A97D}"/>
              </c:ext>
            </c:extLst>
          </c:dPt>
          <c:dPt>
            <c:idx val="1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31C-4C78-9BF2-E260F532A97D}"/>
              </c:ext>
            </c:extLst>
          </c:dPt>
          <c:dPt>
            <c:idx val="14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31C-4C78-9BF2-E260F532A97D}"/>
              </c:ext>
            </c:extLst>
          </c:dPt>
          <c:dPt>
            <c:idx val="15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31C-4C78-9BF2-E260F532A97D}"/>
              </c:ext>
            </c:extLst>
          </c:dPt>
          <c:dPt>
            <c:idx val="16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31C-4C78-9BF2-E260F532A97D}"/>
              </c:ext>
            </c:extLst>
          </c:dPt>
          <c:dPt>
            <c:idx val="17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31C-4C78-9BF2-E260F532A97D}"/>
              </c:ext>
            </c:extLst>
          </c:dPt>
          <c:dPt>
            <c:idx val="18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31C-4C78-9BF2-E260F532A97D}"/>
              </c:ext>
            </c:extLst>
          </c:dPt>
          <c:dPt>
            <c:idx val="19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31C-4C78-9BF2-E260F532A97D}"/>
              </c:ext>
            </c:extLst>
          </c:dPt>
          <c:dPt>
            <c:idx val="2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31C-4C78-9BF2-E260F532A97D}"/>
              </c:ext>
            </c:extLst>
          </c:dPt>
          <c:dPt>
            <c:idx val="2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31C-4C78-9BF2-E260F532A97D}"/>
              </c:ext>
            </c:extLst>
          </c:dPt>
          <c:dPt>
            <c:idx val="2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31C-4C78-9BF2-E260F532A97D}"/>
              </c:ext>
            </c:extLst>
          </c:dPt>
          <c:dPt>
            <c:idx val="23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31C-4C78-9BF2-E260F532A97D}"/>
              </c:ext>
            </c:extLst>
          </c:dPt>
          <c:val>
            <c:numLit>
              <c:formatCode>General</c:formatCode>
              <c:ptCount val="2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30-031C-4C78-9BF2-E260F53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031C-4C78-9BF2-E260F532A97D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31C-4C78-9BF2-E260F532A97D}"/>
              </c:ext>
            </c:extLst>
          </c:dPt>
          <c:cat>
            <c:strRef>
              <c:f>DataProcessing!$N$20:$O$20</c:f>
              <c:strCache>
                <c:ptCount val="2"/>
                <c:pt idx="0">
                  <c:v>Balance</c:v>
                </c:pt>
                <c:pt idx="1">
                  <c:v>Remaining Credit</c:v>
                </c:pt>
              </c:strCache>
            </c:strRef>
          </c:cat>
          <c:val>
            <c:numRef>
              <c:f>DataProcessing!$N$21:$O$21</c:f>
              <c:numCache>
                <c:formatCode>0.0%</c:formatCode>
                <c:ptCount val="2"/>
                <c:pt idx="0">
                  <c:v>0.49706157894736841</c:v>
                </c:pt>
                <c:pt idx="1">
                  <c:v>0.50293842105263153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31C-4C78-9BF2-E260F53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ko-KR"/>
              <a:t>Order Amount by Month</a:t>
            </a:r>
          </a:p>
        </c:rich>
      </c:tx>
      <c:layout>
        <c:manualLayout>
          <c:xMode val="edge"/>
          <c:yMode val="edge"/>
          <c:x val="0.34779463646834863"/>
          <c:y val="2.4539877300613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DataProcessing!$J$28</c:f>
              <c:strCache>
                <c:ptCount val="1"/>
                <c:pt idx="0">
                  <c:v>매출-GRO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DataProcessing!$J$29:$J$41</c:f>
              <c:numCache>
                <c:formatCode>#,##0</c:formatCode>
                <c:ptCount val="13"/>
                <c:pt idx="0">
                  <c:v>20428.55</c:v>
                </c:pt>
                <c:pt idx="1">
                  <c:v>28815.3</c:v>
                </c:pt>
                <c:pt idx="2">
                  <c:v>13855.4</c:v>
                </c:pt>
                <c:pt idx="3">
                  <c:v>14658.9</c:v>
                </c:pt>
                <c:pt idx="4">
                  <c:v>18574.5</c:v>
                </c:pt>
                <c:pt idx="5">
                  <c:v>15672.529999999999</c:v>
                </c:pt>
                <c:pt idx="6">
                  <c:v>18405.04</c:v>
                </c:pt>
                <c:pt idx="7">
                  <c:v>18663.100000000002</c:v>
                </c:pt>
                <c:pt idx="8">
                  <c:v>14139.95</c:v>
                </c:pt>
                <c:pt idx="9">
                  <c:v>16442.419999999998</c:v>
                </c:pt>
                <c:pt idx="10">
                  <c:v>17865.400000000001</c:v>
                </c:pt>
                <c:pt idx="11">
                  <c:v>17957.2</c:v>
                </c:pt>
                <c:pt idx="12">
                  <c:v>9580.9399999999987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6-4850-8C13-8E8DB2D4142E}"/>
            </c:ext>
          </c:extLst>
        </c:ser>
        <c:ser>
          <c:idx val="1"/>
          <c:order val="1"/>
          <c:tx>
            <c:strRef>
              <c:f>DataProcessing!$K$28</c:f>
              <c:strCache>
                <c:ptCount val="1"/>
                <c:pt idx="0">
                  <c:v>매출-FISH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numFmt formatCode="#,#0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DataProcessing!$K$29:$K$41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8-419E-ADE1-A2AC5F32F48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100"/>
        <c:axId val="1048091535"/>
        <c:axId val="1048092975"/>
      </c:barChart>
      <c:dateAx>
        <c:axId val="1048091535"/>
        <c:scaling>
          <c:orientation val="minMax"/>
        </c:scaling>
        <c:delete val="0"/>
        <c:axPos val="b"/>
        <c:numFmt formatCode="yy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92975"/>
        <c:crosses val="autoZero"/>
        <c:auto val="1"/>
        <c:lblOffset val="100"/>
        <c:baseTimeUnit val="months"/>
      </c:dateAx>
      <c:valAx>
        <c:axId val="10480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9153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ko-KR"/>
              <a:t>Average Amount/Order</a:t>
            </a:r>
            <a:endParaRPr lang="ko-KR"/>
          </a:p>
        </c:rich>
      </c:tx>
      <c:layout>
        <c:manualLayout>
          <c:xMode val="edge"/>
          <c:yMode val="edge"/>
          <c:x val="0.33098921698216427"/>
          <c:y val="2.5723472668810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DataProcessing!$L$28</c:f>
              <c:strCache>
                <c:ptCount val="1"/>
                <c:pt idx="0">
                  <c:v>평균-GRO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DataProcessing!$L$29:$L$41</c:f>
              <c:numCache>
                <c:formatCode>#,##0</c:formatCode>
                <c:ptCount val="13"/>
                <c:pt idx="0">
                  <c:v>4085.71</c:v>
                </c:pt>
                <c:pt idx="1">
                  <c:v>4802.55</c:v>
                </c:pt>
                <c:pt idx="2">
                  <c:v>2309.2333333333331</c:v>
                </c:pt>
                <c:pt idx="3">
                  <c:v>3664.7249999999999</c:v>
                </c:pt>
                <c:pt idx="4">
                  <c:v>4643.625</c:v>
                </c:pt>
                <c:pt idx="5">
                  <c:v>3918.1324999999997</c:v>
                </c:pt>
                <c:pt idx="6">
                  <c:v>3681.0080000000003</c:v>
                </c:pt>
                <c:pt idx="7">
                  <c:v>3110.5166666666669</c:v>
                </c:pt>
                <c:pt idx="8">
                  <c:v>2827.9900000000002</c:v>
                </c:pt>
                <c:pt idx="9">
                  <c:v>2055.3024999999998</c:v>
                </c:pt>
                <c:pt idx="10">
                  <c:v>2977.5666666666671</c:v>
                </c:pt>
                <c:pt idx="11">
                  <c:v>5985.7333333333336</c:v>
                </c:pt>
                <c:pt idx="12">
                  <c:v>4790.4699999999993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C-4884-AC17-49B5B0ECC40D}"/>
            </c:ext>
          </c:extLst>
        </c:ser>
        <c:ser>
          <c:idx val="1"/>
          <c:order val="1"/>
          <c:tx>
            <c:strRef>
              <c:f>DataProcessing!$M$28</c:f>
              <c:strCache>
                <c:ptCount val="1"/>
                <c:pt idx="0">
                  <c:v>평균-FISH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DataProcessing!$I$29:$I$41</c:f>
              <c:numCache>
                <c:formatCode>yy/mm</c:formatCode>
                <c:ptCount val="13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f>DataProcessing!$M$29:$M$41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4-471D-80CE-900F05E2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090127"/>
        <c:axId val="1043091567"/>
      </c:lineChart>
      <c:dateAx>
        <c:axId val="1043090127"/>
        <c:scaling>
          <c:orientation val="minMax"/>
        </c:scaling>
        <c:delete val="0"/>
        <c:axPos val="b"/>
        <c:numFmt formatCode="yy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91567"/>
        <c:crosses val="autoZero"/>
        <c:auto val="1"/>
        <c:lblOffset val="100"/>
        <c:baseTimeUnit val="months"/>
      </c:dateAx>
      <c:valAx>
        <c:axId val="104309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9012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123825</xdr:rowOff>
    </xdr:from>
    <xdr:to>
      <xdr:col>6</xdr:col>
      <xdr:colOff>371474</xdr:colOff>
      <xdr:row>21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2F4C7A7-167E-D058-F934-8B1AA5B32368}"/>
            </a:ext>
          </a:extLst>
        </xdr:cNvPr>
        <xdr:cNvSpPr/>
      </xdr:nvSpPr>
      <xdr:spPr>
        <a:xfrm>
          <a:off x="19050" y="638175"/>
          <a:ext cx="4638674" cy="3914775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95250</xdr:colOff>
      <xdr:row>6</xdr:row>
      <xdr:rowOff>123825</xdr:rowOff>
    </xdr:from>
    <xdr:to>
      <xdr:col>6</xdr:col>
      <xdr:colOff>185738</xdr:colOff>
      <xdr:row>20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38AB9-B835-4BF4-BE27-4445513610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</xdr:row>
      <xdr:rowOff>133350</xdr:rowOff>
    </xdr:from>
    <xdr:to>
      <xdr:col>5</xdr:col>
      <xdr:colOff>428625</xdr:colOff>
      <xdr:row>5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6F40C6-559A-EBFA-CE1B-05CE726128C8}"/>
            </a:ext>
          </a:extLst>
        </xdr:cNvPr>
        <xdr:cNvSpPr txBox="1"/>
      </xdr:nvSpPr>
      <xdr:spPr>
        <a:xfrm>
          <a:off x="628650" y="828675"/>
          <a:ext cx="30480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kern="1200" baseline="0"/>
            <a:t> </a:t>
          </a:r>
          <a:r>
            <a:rPr lang="en-US" altLang="ko-KR" sz="1400" kern="1200" baseline="0"/>
            <a:t>CREDIT LIMIT UTILIZATION</a:t>
          </a:r>
          <a:endParaRPr lang="en-US" sz="1400" kern="1200"/>
        </a:p>
      </xdr:txBody>
    </xdr:sp>
    <xdr:clientData/>
  </xdr:twoCellAnchor>
  <xdr:twoCellAnchor>
    <xdr:from>
      <xdr:col>10</xdr:col>
      <xdr:colOff>57149</xdr:colOff>
      <xdr:row>2</xdr:row>
      <xdr:rowOff>180974</xdr:rowOff>
    </xdr:from>
    <xdr:to>
      <xdr:col>24</xdr:col>
      <xdr:colOff>123825</xdr:colOff>
      <xdr:row>17</xdr:row>
      <xdr:rowOff>161924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431E3B-4389-45CE-9175-4FF38AF60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22</xdr:row>
      <xdr:rowOff>171450</xdr:rowOff>
    </xdr:from>
    <xdr:to>
      <xdr:col>24</xdr:col>
      <xdr:colOff>238126</xdr:colOff>
      <xdr:row>37</xdr:row>
      <xdr:rowOff>57150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05722D8-F44D-4C30-B3FA-D8DD66AE5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</xdr:colOff>
      <xdr:row>0</xdr:row>
      <xdr:rowOff>19050</xdr:rowOff>
    </xdr:from>
    <xdr:to>
      <xdr:col>1</xdr:col>
      <xdr:colOff>66675</xdr:colOff>
      <xdr:row>0</xdr:row>
      <xdr:rowOff>171450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EBA296C-9B0D-648A-D9CB-F3ACAEAD3529}"/>
            </a:ext>
          </a:extLst>
        </xdr:cNvPr>
        <xdr:cNvCxnSpPr/>
      </xdr:nvCxnSpPr>
      <xdr:spPr>
        <a:xfrm>
          <a:off x="666750" y="19050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0.42396</cdr:x>
      <cdr:y>0.38194</cdr:y>
    </cdr:from>
    <cdr:to>
      <cdr:x>0.58646</cdr:x>
      <cdr:y>0.60764</cdr:y>
    </cdr:to>
    <cdr:sp macro="" textlink="DataProcessing!$N$21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BE258385-FDA6-0CE6-B9CB-49861514F067}"/>
            </a:ext>
          </a:extLst>
        </cdr:cNvPr>
        <cdr:cNvSpPr/>
      </cdr:nvSpPr>
      <cdr:spPr>
        <a:xfrm xmlns:a="http://schemas.openxmlformats.org/drawingml/2006/main">
          <a:off x="1938338" y="1047750"/>
          <a:ext cx="742950" cy="619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fld id="{483A0EA9-19BB-46BD-8819-57DF4AC28DFA}" type="TxLink">
            <a:rPr lang="en-US" sz="1600" b="0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49.7%</a:t>
          </a:fld>
          <a:endParaRPr lang="en-US" sz="1600" kern="12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02A72C-6F68-4F48-9C53-87CB93EF181C}" autoFormatId="16" applyNumberFormats="0" applyBorderFormats="0" applyFontFormats="0" applyPatternFormats="0" applyAlignmentFormats="0" applyWidthHeightFormats="0">
  <queryTableRefresh nextId="24">
    <queryTableFields count="8">
      <queryTableField id="16" name="Cust #" tableColumnId="5"/>
      <queryTableField id="17" name="Type" tableColumnId="6"/>
      <queryTableField id="18" name="Doc. No." tableColumnId="7"/>
      <queryTableField id="19" name="Posting Date" tableColumnId="8"/>
      <queryTableField id="20" name="C/D (LC)" tableColumnId="9"/>
      <queryTableField id="21" name="Balance Due (LC)" tableColumnId="10"/>
      <queryTableField id="22" name="Offset RC #" tableColumnId="11"/>
      <queryTableField id="23" name="RC 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79D3D-D5A4-42C2-B2DE-BF8EE5B7200C}" name="Table1" displayName="Table1" ref="A1:H937" tableType="queryTable" totalsRowShown="0">
  <autoFilter ref="A1:H937" xr:uid="{9E079D3D-D5A4-42C2-B2DE-BF8EE5B7200C}"/>
  <tableColumns count="8">
    <tableColumn id="5" xr3:uid="{AB08BC52-2D84-4F22-BD4F-593FBDACDCE1}" uniqueName="5" name="Cust #" queryTableFieldId="16" dataDxfId="19"/>
    <tableColumn id="6" xr3:uid="{6E9FC226-FFEF-44D9-9B5D-A75F719CD8FC}" uniqueName="6" name="Type" queryTableFieldId="17" dataDxfId="18"/>
    <tableColumn id="7" xr3:uid="{88EAB1FF-E16F-4C57-A46B-5211C74A1CD0}" uniqueName="7" name="Doc. No." queryTableFieldId="18"/>
    <tableColumn id="8" xr3:uid="{D197B68F-842D-4E82-AE36-4A51E554EC3D}" uniqueName="8" name="Posting Date" queryTableFieldId="19" dataDxfId="17"/>
    <tableColumn id="9" xr3:uid="{3B1EDA70-91C9-4D4F-BA4C-F0506249C845}" uniqueName="9" name="C/D (LC)" queryTableFieldId="20"/>
    <tableColumn id="10" xr3:uid="{EB05EFAA-8134-4786-B598-1C8219A8F4BE}" uniqueName="10" name="Balance Due (LC)" queryTableFieldId="21"/>
    <tableColumn id="11" xr3:uid="{807181AD-FD5E-45E7-A102-1CDA7A1C6E97}" uniqueName="11" name="Offset RC #" queryTableFieldId="22"/>
    <tableColumn id="12" xr3:uid="{5F8F5C40-E8DB-4526-9C13-62BE98651246}" uniqueName="12" name="RC Date" queryTableFieldId="23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ADD-17EA-478A-9D37-4E20D2B91FFF}">
  <dimension ref="A1:C22"/>
  <sheetViews>
    <sheetView workbookViewId="0">
      <selection activeCell="E25" sqref="E25"/>
    </sheetView>
  </sheetViews>
  <sheetFormatPr defaultRowHeight="15"/>
  <sheetData>
    <row r="1" spans="1:3" ht="15.75">
      <c r="A1" s="81" t="s">
        <v>126</v>
      </c>
    </row>
    <row r="3" spans="1:3">
      <c r="A3" t="s">
        <v>127</v>
      </c>
    </row>
    <row r="5" spans="1:3">
      <c r="B5" t="s">
        <v>128</v>
      </c>
    </row>
    <row r="6" spans="1:3">
      <c r="C6" t="s">
        <v>121</v>
      </c>
    </row>
    <row r="9" spans="1:3">
      <c r="B9" t="s">
        <v>122</v>
      </c>
    </row>
    <row r="10" spans="1:3">
      <c r="C10" s="2" t="s">
        <v>129</v>
      </c>
    </row>
    <row r="11" spans="1:3">
      <c r="C11" s="2" t="s">
        <v>130</v>
      </c>
    </row>
    <row r="12" spans="1:3">
      <c r="C12" s="2" t="s">
        <v>131</v>
      </c>
    </row>
    <row r="13" spans="1:3">
      <c r="C13" s="2" t="s">
        <v>132</v>
      </c>
    </row>
    <row r="14" spans="1:3">
      <c r="C14" s="2" t="s">
        <v>133</v>
      </c>
    </row>
    <row r="16" spans="1:3">
      <c r="B16" t="s">
        <v>123</v>
      </c>
    </row>
    <row r="17" spans="2:3">
      <c r="C17" s="2" t="s">
        <v>134</v>
      </c>
    </row>
    <row r="18" spans="2:3">
      <c r="C18" s="2" t="s">
        <v>135</v>
      </c>
    </row>
    <row r="20" spans="2:3">
      <c r="B20" t="s">
        <v>136</v>
      </c>
    </row>
    <row r="21" spans="2:3">
      <c r="C21" t="s">
        <v>124</v>
      </c>
    </row>
    <row r="22" spans="2:3">
      <c r="C2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B639-8DDA-4BFB-8DA1-6E3E249A02DA}">
  <sheetPr codeName="Sheet2">
    <pageSetUpPr fitToPage="1"/>
  </sheetPr>
  <dimension ref="A1:Y48"/>
  <sheetViews>
    <sheetView tabSelected="1" workbookViewId="0">
      <selection activeCell="B2" sqref="B2"/>
    </sheetView>
  </sheetViews>
  <sheetFormatPr defaultRowHeight="15"/>
  <cols>
    <col min="1" max="1" width="6.7109375" style="6" customWidth="1"/>
    <col min="2" max="2" width="12.140625" style="6" customWidth="1"/>
    <col min="3" max="3" width="11.140625" style="6" customWidth="1"/>
    <col min="4" max="4" width="11" style="6" customWidth="1"/>
    <col min="5" max="5" width="11.7109375" style="6" customWidth="1"/>
    <col min="6" max="6" width="11.5703125" style="6" bestFit="1" customWidth="1"/>
    <col min="7" max="7" width="10.7109375" style="6" customWidth="1"/>
    <col min="8" max="8" width="14.85546875" style="6" customWidth="1"/>
    <col min="9" max="9" width="15.140625" style="6" bestFit="1" customWidth="1"/>
    <col min="10" max="10" width="8.85546875" style="6" customWidth="1"/>
    <col min="11" max="11" width="9.140625" style="6"/>
    <col min="12" max="24" width="5.7109375" style="6" customWidth="1"/>
    <col min="25" max="26" width="9.140625" style="6"/>
    <col min="27" max="28" width="11.5703125" style="6" bestFit="1" customWidth="1"/>
    <col min="29" max="16384" width="9.140625" style="6"/>
  </cols>
  <sheetData>
    <row r="1" spans="2:10" s="27" customFormat="1" ht="16.5" thickBot="1">
      <c r="B1" s="66" t="s">
        <v>120</v>
      </c>
      <c r="C1" s="66"/>
      <c r="E1" s="27" t="s">
        <v>88</v>
      </c>
      <c r="F1" s="73">
        <v>45826</v>
      </c>
      <c r="I1" s="28" t="s">
        <v>49</v>
      </c>
    </row>
    <row r="2" spans="2:10" ht="24" thickBot="1">
      <c r="B2" s="44" t="s">
        <v>111</v>
      </c>
      <c r="D2" s="35" t="str">
        <f>VLOOKUP(Dashboard!$B$2,ClientsList!$A:$B,2,0)</f>
        <v>Client_05</v>
      </c>
      <c r="E2" s="36"/>
      <c r="F2" s="36"/>
      <c r="G2" s="36"/>
      <c r="H2" s="37"/>
      <c r="I2" s="34" t="str">
        <f>VLOOKUP($B$2,ClientsList!$A:$C,3,0)</f>
        <v>NET30</v>
      </c>
    </row>
    <row r="5" spans="2:10" ht="21">
      <c r="H5" s="24" t="s">
        <v>91</v>
      </c>
      <c r="I5" s="31" t="str">
        <f>DataProcessing!K25</f>
        <v>OKAY</v>
      </c>
    </row>
    <row r="8" spans="2:10" ht="18.75">
      <c r="H8" s="24" t="s">
        <v>50</v>
      </c>
      <c r="I8" s="25">
        <f>DataProcessing!K21</f>
        <v>38000</v>
      </c>
    </row>
    <row r="9" spans="2:10" ht="18.75">
      <c r="H9" s="24" t="s">
        <v>51</v>
      </c>
      <c r="I9" s="26">
        <f>DataProcessing!K22</f>
        <v>18888.34</v>
      </c>
    </row>
    <row r="10" spans="2:10" ht="18.75">
      <c r="H10" s="24" t="s">
        <v>59</v>
      </c>
      <c r="I10" s="25">
        <f>DataProcessing!K23</f>
        <v>19111.66</v>
      </c>
    </row>
    <row r="13" spans="2:10" ht="15.75">
      <c r="J13" s="27"/>
    </row>
    <row r="14" spans="2:10" ht="15.75">
      <c r="H14" s="79" t="s">
        <v>92</v>
      </c>
      <c r="I14" s="79"/>
      <c r="J14" s="27"/>
    </row>
    <row r="15" spans="2:10" ht="15.75">
      <c r="H15" s="80"/>
      <c r="I15" s="80"/>
      <c r="J15" s="27"/>
    </row>
    <row r="16" spans="2:10" ht="15.75">
      <c r="H16" s="29" t="s">
        <v>93</v>
      </c>
      <c r="I16" s="71">
        <f>DataProcessing!K17</f>
        <v>17421.673333333336</v>
      </c>
      <c r="J16" s="32" t="s">
        <v>94</v>
      </c>
    </row>
    <row r="17" spans="1:25" ht="15.75">
      <c r="H17" s="29" t="s">
        <v>95</v>
      </c>
      <c r="I17" s="33">
        <f>DataProcessing!L17</f>
        <v>4</v>
      </c>
      <c r="J17" s="32" t="s">
        <v>96</v>
      </c>
    </row>
    <row r="18" spans="1:25">
      <c r="H18" s="6" t="s">
        <v>97</v>
      </c>
    </row>
    <row r="19" spans="1:25" ht="15.75">
      <c r="K19" s="27"/>
      <c r="L19" s="28">
        <v>2024</v>
      </c>
      <c r="M19" s="28"/>
      <c r="N19" s="28"/>
      <c r="O19" s="28"/>
      <c r="P19" s="28"/>
      <c r="Q19" s="28"/>
      <c r="R19" s="28"/>
      <c r="S19" s="28">
        <v>2025</v>
      </c>
      <c r="T19" s="28"/>
      <c r="U19" s="28"/>
      <c r="V19" s="28"/>
      <c r="W19" s="30"/>
      <c r="X19" s="68"/>
    </row>
    <row r="20" spans="1:25" ht="15.75">
      <c r="K20" s="27"/>
      <c r="L20" s="28" t="s">
        <v>75</v>
      </c>
      <c r="M20" s="28" t="s">
        <v>76</v>
      </c>
      <c r="N20" s="28" t="s">
        <v>77</v>
      </c>
      <c r="O20" s="28" t="s">
        <v>78</v>
      </c>
      <c r="P20" s="28" t="s">
        <v>79</v>
      </c>
      <c r="Q20" s="28" t="s">
        <v>80</v>
      </c>
      <c r="R20" s="28" t="s">
        <v>81</v>
      </c>
      <c r="S20" s="28" t="s">
        <v>82</v>
      </c>
      <c r="T20" s="28" t="s">
        <v>83</v>
      </c>
      <c r="U20" s="28" t="s">
        <v>84</v>
      </c>
      <c r="V20" s="28" t="s">
        <v>85</v>
      </c>
      <c r="W20" s="28" t="s">
        <v>86</v>
      </c>
      <c r="X20" s="28" t="s">
        <v>75</v>
      </c>
    </row>
    <row r="21" spans="1:25" ht="15.75">
      <c r="I21" s="66"/>
      <c r="J21" s="66"/>
      <c r="K21" s="77" t="s">
        <v>89</v>
      </c>
      <c r="L21" s="78">
        <f>DataProcessing!D7</f>
        <v>33.200000000000003</v>
      </c>
      <c r="M21" s="78">
        <f>DataProcessing!D8</f>
        <v>34.666666666666664</v>
      </c>
      <c r="N21" s="78">
        <f>DataProcessing!D9</f>
        <v>58.333333333333336</v>
      </c>
      <c r="O21" s="78">
        <f>DataProcessing!D10</f>
        <v>31.5</v>
      </c>
      <c r="P21" s="78">
        <f>DataProcessing!D11</f>
        <v>55.666666666666664</v>
      </c>
      <c r="Q21" s="78">
        <f>DataProcessing!D12</f>
        <v>26</v>
      </c>
      <c r="R21" s="78">
        <f>DataProcessing!D13</f>
        <v>57</v>
      </c>
      <c r="S21" s="78">
        <f>DataProcessing!D14</f>
        <v>24.75</v>
      </c>
      <c r="T21" s="78">
        <f>DataProcessing!D15</f>
        <v>38.333333333333336</v>
      </c>
      <c r="U21" s="78">
        <f>DataProcessing!D16</f>
        <v>32.799999999999997</v>
      </c>
      <c r="V21" s="78">
        <f>DataProcessing!D17</f>
        <v>31.5</v>
      </c>
      <c r="W21" s="78">
        <f>DataProcessing!D18</f>
        <v>17.5</v>
      </c>
      <c r="X21" s="78" t="str">
        <f>DataProcessing!D19</f>
        <v/>
      </c>
      <c r="Y21" s="22"/>
    </row>
    <row r="22" spans="1:25" ht="15.75">
      <c r="I22" s="27"/>
      <c r="J22" s="29"/>
      <c r="K22" s="20" t="s">
        <v>90</v>
      </c>
      <c r="L22" s="76">
        <f>DataProcessing!E7</f>
        <v>5</v>
      </c>
      <c r="M22" s="76">
        <f>DataProcessing!E8</f>
        <v>6</v>
      </c>
      <c r="N22" s="76">
        <f>DataProcessing!E9</f>
        <v>3</v>
      </c>
      <c r="O22" s="76">
        <f>DataProcessing!E10</f>
        <v>4</v>
      </c>
      <c r="P22" s="76">
        <f>DataProcessing!E11</f>
        <v>3</v>
      </c>
      <c r="Q22" s="76">
        <f>DataProcessing!E12</f>
        <v>3</v>
      </c>
      <c r="R22" s="76">
        <f>DataProcessing!E13</f>
        <v>4</v>
      </c>
      <c r="S22" s="76">
        <f>DataProcessing!E14</f>
        <v>4</v>
      </c>
      <c r="T22" s="76">
        <f>DataProcessing!E15</f>
        <v>3</v>
      </c>
      <c r="U22" s="76">
        <f>DataProcessing!E16</f>
        <v>5</v>
      </c>
      <c r="V22" s="76">
        <f>DataProcessing!E17</f>
        <v>4</v>
      </c>
      <c r="W22" s="76">
        <f>DataProcessing!E18</f>
        <v>3</v>
      </c>
      <c r="X22" s="76">
        <f>DataProcessing!E19</f>
        <v>2</v>
      </c>
      <c r="Y22" s="22"/>
    </row>
    <row r="23" spans="1:25" ht="15.75">
      <c r="I23" s="27"/>
      <c r="J23" s="27"/>
    </row>
    <row r="24" spans="1:25" ht="15.75">
      <c r="A24" s="27"/>
      <c r="B24" s="29"/>
      <c r="C24" s="69" t="s">
        <v>73</v>
      </c>
      <c r="D24" s="70">
        <f>SUM(C28:C48)</f>
        <v>18888.340000000004</v>
      </c>
      <c r="F24" s="72"/>
    </row>
    <row r="25" spans="1:25" ht="15.75">
      <c r="C25" s="29" t="s">
        <v>74</v>
      </c>
      <c r="D25" s="75">
        <f>SUMIF($F$28:$F$48,"&gt;0",$C$28:$C$48)</f>
        <v>6243.6</v>
      </c>
    </row>
    <row r="26" spans="1:25">
      <c r="B26" s="22" t="s">
        <v>87</v>
      </c>
    </row>
    <row r="27" spans="1:25" ht="30">
      <c r="B27" s="39" t="s">
        <v>45</v>
      </c>
      <c r="C27" s="40" t="s">
        <v>72</v>
      </c>
      <c r="D27" s="40" t="s">
        <v>71</v>
      </c>
      <c r="E27" s="40" t="s">
        <v>47</v>
      </c>
      <c r="F27" s="40" t="s">
        <v>70</v>
      </c>
    </row>
    <row r="28" spans="1:25">
      <c r="B28" s="43">
        <f>DataProcessing!S7</f>
        <v>140024506</v>
      </c>
      <c r="C28" s="41">
        <f>DataProcessing!T7</f>
        <v>6243.6</v>
      </c>
      <c r="D28" s="38">
        <f>DataProcessing!U7</f>
        <v>45791</v>
      </c>
      <c r="E28" s="38">
        <f>DataProcessing!V7</f>
        <v>45821</v>
      </c>
      <c r="F28" s="42">
        <f>DataProcessing!W7</f>
        <v>5</v>
      </c>
    </row>
    <row r="29" spans="1:25">
      <c r="B29" s="43">
        <f>DataProcessing!S8</f>
        <v>140025138</v>
      </c>
      <c r="C29" s="41">
        <f>DataProcessing!T8</f>
        <v>3063.8</v>
      </c>
      <c r="D29" s="38">
        <f>DataProcessing!U8</f>
        <v>45805</v>
      </c>
      <c r="E29" s="38">
        <f>DataProcessing!V8</f>
        <v>45835</v>
      </c>
      <c r="F29" s="42">
        <f>DataProcessing!W8</f>
        <v>-9</v>
      </c>
    </row>
    <row r="30" spans="1:25">
      <c r="B30" s="43">
        <f>DataProcessing!S9</f>
        <v>140025429</v>
      </c>
      <c r="C30" s="41">
        <f>DataProcessing!T9</f>
        <v>4533.3599999999997</v>
      </c>
      <c r="D30" s="38">
        <f>DataProcessing!U9</f>
        <v>45812</v>
      </c>
      <c r="E30" s="38">
        <f>DataProcessing!V9</f>
        <v>45842</v>
      </c>
      <c r="F30" s="42">
        <f>DataProcessing!W9</f>
        <v>-16</v>
      </c>
    </row>
    <row r="31" spans="1:25">
      <c r="B31" s="43">
        <f>DataProcessing!S10</f>
        <v>140026079</v>
      </c>
      <c r="C31" s="41">
        <f>DataProcessing!T10</f>
        <v>5047.58</v>
      </c>
      <c r="D31" s="38">
        <f>DataProcessing!U10</f>
        <v>45826</v>
      </c>
      <c r="E31" s="38">
        <f>DataProcessing!V10</f>
        <v>45856</v>
      </c>
      <c r="F31" s="42">
        <f>DataProcessing!W10</f>
        <v>-30</v>
      </c>
    </row>
    <row r="32" spans="1:25">
      <c r="B32" s="43">
        <f>DataProcessing!S11</f>
        <v>0</v>
      </c>
      <c r="C32" s="41" t="str">
        <f>DataProcessing!T11</f>
        <v/>
      </c>
      <c r="D32" s="38" t="str">
        <f>DataProcessing!U11</f>
        <v/>
      </c>
      <c r="E32" s="38" t="str">
        <f>DataProcessing!V11</f>
        <v/>
      </c>
      <c r="F32" s="42" t="str">
        <f>DataProcessing!W11</f>
        <v/>
      </c>
    </row>
    <row r="33" spans="2:6">
      <c r="B33" s="43">
        <f>DataProcessing!S12</f>
        <v>0</v>
      </c>
      <c r="C33" s="41" t="str">
        <f>DataProcessing!T12</f>
        <v/>
      </c>
      <c r="D33" s="38" t="str">
        <f>DataProcessing!U12</f>
        <v/>
      </c>
      <c r="E33" s="38" t="str">
        <f>DataProcessing!V12</f>
        <v/>
      </c>
      <c r="F33" s="42" t="str">
        <f>DataProcessing!W12</f>
        <v/>
      </c>
    </row>
    <row r="34" spans="2:6">
      <c r="B34" s="43">
        <f>DataProcessing!S13</f>
        <v>0</v>
      </c>
      <c r="C34" s="41" t="str">
        <f>DataProcessing!T13</f>
        <v/>
      </c>
      <c r="D34" s="38" t="str">
        <f>DataProcessing!U13</f>
        <v/>
      </c>
      <c r="E34" s="38" t="str">
        <f>DataProcessing!V13</f>
        <v/>
      </c>
      <c r="F34" s="42" t="str">
        <f>DataProcessing!W13</f>
        <v/>
      </c>
    </row>
    <row r="35" spans="2:6">
      <c r="B35" s="43">
        <f>DataProcessing!S14</f>
        <v>0</v>
      </c>
      <c r="C35" s="41" t="str">
        <f>DataProcessing!T14</f>
        <v/>
      </c>
      <c r="D35" s="38" t="str">
        <f>DataProcessing!U14</f>
        <v/>
      </c>
      <c r="E35" s="38" t="str">
        <f>DataProcessing!V14</f>
        <v/>
      </c>
      <c r="F35" s="42" t="str">
        <f>DataProcessing!W14</f>
        <v/>
      </c>
    </row>
    <row r="36" spans="2:6">
      <c r="B36" s="43">
        <f>DataProcessing!S15</f>
        <v>0</v>
      </c>
      <c r="C36" s="41" t="str">
        <f>DataProcessing!T15</f>
        <v/>
      </c>
      <c r="D36" s="38" t="str">
        <f>DataProcessing!U15</f>
        <v/>
      </c>
      <c r="E36" s="38" t="str">
        <f>DataProcessing!V15</f>
        <v/>
      </c>
      <c r="F36" s="42" t="str">
        <f>DataProcessing!W15</f>
        <v/>
      </c>
    </row>
    <row r="37" spans="2:6">
      <c r="B37" s="43">
        <f>DataProcessing!S16</f>
        <v>0</v>
      </c>
      <c r="C37" s="41" t="str">
        <f>DataProcessing!T16</f>
        <v/>
      </c>
      <c r="D37" s="38" t="str">
        <f>DataProcessing!U16</f>
        <v/>
      </c>
      <c r="E37" s="38" t="str">
        <f>DataProcessing!V16</f>
        <v/>
      </c>
      <c r="F37" s="42" t="str">
        <f>DataProcessing!W16</f>
        <v/>
      </c>
    </row>
    <row r="38" spans="2:6">
      <c r="B38" s="43">
        <f>DataProcessing!S17</f>
        <v>0</v>
      </c>
      <c r="C38" s="41" t="str">
        <f>DataProcessing!T17</f>
        <v/>
      </c>
      <c r="D38" s="38" t="str">
        <f>DataProcessing!U17</f>
        <v/>
      </c>
      <c r="E38" s="38" t="str">
        <f>DataProcessing!V17</f>
        <v/>
      </c>
      <c r="F38" s="42" t="str">
        <f>DataProcessing!W17</f>
        <v/>
      </c>
    </row>
    <row r="39" spans="2:6">
      <c r="B39" s="43">
        <f>DataProcessing!S18</f>
        <v>0</v>
      </c>
      <c r="C39" s="41" t="str">
        <f>DataProcessing!T18</f>
        <v/>
      </c>
      <c r="D39" s="38" t="str">
        <f>DataProcessing!U18</f>
        <v/>
      </c>
      <c r="E39" s="38" t="str">
        <f>DataProcessing!V18</f>
        <v/>
      </c>
      <c r="F39" s="42" t="str">
        <f>DataProcessing!W18</f>
        <v/>
      </c>
    </row>
    <row r="40" spans="2:6">
      <c r="B40" s="43">
        <f>DataProcessing!S19</f>
        <v>0</v>
      </c>
      <c r="C40" s="41" t="str">
        <f>DataProcessing!T19</f>
        <v/>
      </c>
      <c r="D40" s="38" t="str">
        <f>DataProcessing!U19</f>
        <v/>
      </c>
      <c r="E40" s="38" t="str">
        <f>DataProcessing!V19</f>
        <v/>
      </c>
      <c r="F40" s="42" t="str">
        <f>DataProcessing!W19</f>
        <v/>
      </c>
    </row>
    <row r="41" spans="2:6">
      <c r="B41" s="43">
        <f>DataProcessing!S20</f>
        <v>0</v>
      </c>
      <c r="C41" s="41" t="str">
        <f>DataProcessing!T20</f>
        <v/>
      </c>
      <c r="D41" s="38" t="str">
        <f>DataProcessing!U20</f>
        <v/>
      </c>
      <c r="E41" s="38" t="str">
        <f>DataProcessing!V20</f>
        <v/>
      </c>
      <c r="F41" s="42" t="str">
        <f>DataProcessing!W20</f>
        <v/>
      </c>
    </row>
    <row r="42" spans="2:6">
      <c r="B42" s="43">
        <f>DataProcessing!S21</f>
        <v>0</v>
      </c>
      <c r="C42" s="41" t="str">
        <f>DataProcessing!T21</f>
        <v/>
      </c>
      <c r="D42" s="38" t="str">
        <f>DataProcessing!U21</f>
        <v/>
      </c>
      <c r="E42" s="38" t="str">
        <f>DataProcessing!V21</f>
        <v/>
      </c>
      <c r="F42" s="42" t="str">
        <f>DataProcessing!W21</f>
        <v/>
      </c>
    </row>
    <row r="43" spans="2:6">
      <c r="B43" s="43">
        <f>DataProcessing!S22</f>
        <v>0</v>
      </c>
      <c r="C43" s="41" t="str">
        <f>DataProcessing!T22</f>
        <v/>
      </c>
      <c r="D43" s="38" t="str">
        <f>DataProcessing!U22</f>
        <v/>
      </c>
      <c r="E43" s="38" t="str">
        <f>DataProcessing!V22</f>
        <v/>
      </c>
      <c r="F43" s="42" t="str">
        <f>DataProcessing!W22</f>
        <v/>
      </c>
    </row>
    <row r="44" spans="2:6">
      <c r="B44" s="43">
        <f>DataProcessing!S23</f>
        <v>0</v>
      </c>
      <c r="C44" s="41" t="str">
        <f>DataProcessing!T23</f>
        <v/>
      </c>
      <c r="D44" s="38" t="str">
        <f>DataProcessing!U23</f>
        <v/>
      </c>
      <c r="E44" s="38" t="str">
        <f>DataProcessing!V23</f>
        <v/>
      </c>
      <c r="F44" s="42" t="str">
        <f>DataProcessing!W23</f>
        <v/>
      </c>
    </row>
    <row r="45" spans="2:6">
      <c r="B45" s="43">
        <f>DataProcessing!S24</f>
        <v>0</v>
      </c>
      <c r="C45" s="41" t="str">
        <f>DataProcessing!T24</f>
        <v/>
      </c>
      <c r="D45" s="38" t="str">
        <f>DataProcessing!U24</f>
        <v/>
      </c>
      <c r="E45" s="38" t="str">
        <f>DataProcessing!V24</f>
        <v/>
      </c>
      <c r="F45" s="42" t="str">
        <f>DataProcessing!W24</f>
        <v/>
      </c>
    </row>
    <row r="46" spans="2:6">
      <c r="B46" s="43">
        <f>DataProcessing!S25</f>
        <v>0</v>
      </c>
      <c r="C46" s="41" t="str">
        <f>DataProcessing!T25</f>
        <v/>
      </c>
      <c r="D46" s="38" t="str">
        <f>DataProcessing!U25</f>
        <v/>
      </c>
      <c r="E46" s="38" t="str">
        <f>DataProcessing!V25</f>
        <v/>
      </c>
      <c r="F46" s="42" t="str">
        <f>DataProcessing!W25</f>
        <v/>
      </c>
    </row>
    <row r="47" spans="2:6">
      <c r="B47" s="43">
        <f>DataProcessing!S26</f>
        <v>0</v>
      </c>
      <c r="C47" s="41" t="str">
        <f>DataProcessing!T26</f>
        <v/>
      </c>
      <c r="D47" s="38" t="str">
        <f>DataProcessing!U26</f>
        <v/>
      </c>
      <c r="E47" s="38" t="str">
        <f>DataProcessing!V26</f>
        <v/>
      </c>
      <c r="F47" s="42" t="str">
        <f>DataProcessing!W26</f>
        <v/>
      </c>
    </row>
    <row r="48" spans="2:6">
      <c r="B48" s="43">
        <f>DataProcessing!S27</f>
        <v>0</v>
      </c>
      <c r="C48" s="41" t="str">
        <f>DataProcessing!T27</f>
        <v/>
      </c>
      <c r="D48" s="38" t="str">
        <f>DataProcessing!U27</f>
        <v/>
      </c>
      <c r="E48" s="38" t="str">
        <f>DataProcessing!V27</f>
        <v/>
      </c>
      <c r="F48" s="42" t="str">
        <f>DataProcessing!W27</f>
        <v/>
      </c>
    </row>
  </sheetData>
  <mergeCells count="2">
    <mergeCell ref="H14:I14"/>
    <mergeCell ref="H15:I15"/>
  </mergeCells>
  <conditionalFormatting sqref="B28:B48">
    <cfRule type="cellIs" dxfId="15" priority="4" operator="equal">
      <formula>0</formula>
    </cfRule>
    <cfRule type="expression" dxfId="14" priority="5">
      <formula>$F28&gt;0</formula>
    </cfRule>
  </conditionalFormatting>
  <conditionalFormatting sqref="F28:F48">
    <cfRule type="cellIs" dxfId="13" priority="13" operator="greaterThan">
      <formula>0</formula>
    </cfRule>
  </conditionalFormatting>
  <conditionalFormatting sqref="I5">
    <cfRule type="cellIs" dxfId="12" priority="1" operator="equal">
      <formula>"BAD"</formula>
    </cfRule>
    <cfRule type="cellIs" dxfId="11" priority="2" operator="equal">
      <formula>"OKAY"</formula>
    </cfRule>
    <cfRule type="cellIs" dxfId="10" priority="3" operator="equal">
      <formula>"GOOD"</formula>
    </cfRule>
    <cfRule type="cellIs" dxfId="9" priority="14" operator="equal">
      <formula>"양호"</formula>
    </cfRule>
    <cfRule type="cellIs" dxfId="8" priority="15" operator="equal">
      <formula>"보통"</formula>
    </cfRule>
    <cfRule type="cellIs" dxfId="7" priority="16" operator="equal">
      <formula>"불량"</formula>
    </cfRule>
  </conditionalFormatting>
  <conditionalFormatting sqref="L21:X21">
    <cfRule type="cellIs" dxfId="6" priority="17" operator="greaterThan">
      <formula>30</formula>
    </cfRule>
  </conditionalFormatting>
  <pageMargins left="0.25" right="0.25" top="0.75" bottom="0.75" header="0.3" footer="0.3"/>
  <pageSetup scale="65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78A6C-9150-41ED-A376-51F8554568CA}">
          <x14:formula1>
            <xm:f>ClientsList!$A$2:$A$11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22AF-7D8C-4829-851C-2366EF69DC11}">
  <sheetPr codeName="Sheet3">
    <pageSetUpPr fitToPage="1"/>
  </sheetPr>
  <dimension ref="A1:J12"/>
  <sheetViews>
    <sheetView zoomScaleNormal="100" workbookViewId="0">
      <selection activeCell="I16" sqref="I16"/>
    </sheetView>
  </sheetViews>
  <sheetFormatPr defaultRowHeight="15"/>
  <cols>
    <col min="2" max="2" width="18.7109375" customWidth="1"/>
    <col min="6" max="6" width="11" bestFit="1" customWidth="1"/>
    <col min="9" max="9" width="12.140625" customWidth="1"/>
    <col min="10" max="10" width="44.7109375" customWidth="1"/>
    <col min="11" max="11" width="10.42578125" bestFit="1" customWidth="1"/>
  </cols>
  <sheetData>
    <row r="1" spans="1:10">
      <c r="I1" t="s">
        <v>25</v>
      </c>
      <c r="J1" s="67">
        <v>45826</v>
      </c>
    </row>
    <row r="2" spans="1:10" s="50" customFormat="1" ht="30">
      <c r="A2" s="40" t="s">
        <v>0</v>
      </c>
      <c r="B2" s="40" t="s">
        <v>56</v>
      </c>
      <c r="C2" s="55" t="s">
        <v>49</v>
      </c>
      <c r="D2" s="40" t="s">
        <v>31</v>
      </c>
      <c r="E2" s="40" t="s">
        <v>32</v>
      </c>
      <c r="F2" s="40" t="s">
        <v>59</v>
      </c>
      <c r="G2" s="40" t="s">
        <v>33</v>
      </c>
      <c r="H2" s="40" t="s">
        <v>103</v>
      </c>
      <c r="I2" s="40" t="s">
        <v>102</v>
      </c>
      <c r="J2" s="56" t="s">
        <v>68</v>
      </c>
    </row>
    <row r="3" spans="1:10">
      <c r="A3" s="53" t="s">
        <v>107</v>
      </c>
      <c r="B3" s="48" t="s">
        <v>57</v>
      </c>
      <c r="C3" s="64" t="s">
        <v>21</v>
      </c>
      <c r="D3" s="57">
        <f>VLOOKUP($A3,CreditLimitData!$A:$D,4,0)</f>
        <v>0</v>
      </c>
      <c r="E3" s="54">
        <f>VLOOKUP($A3,CreditLimitData!$A:$F,5,0)</f>
        <v>12000</v>
      </c>
      <c r="F3" s="54">
        <f>VLOOKUP($A3,CreditLimitData!$A:$F,6,0)</f>
        <v>12000</v>
      </c>
      <c r="G3" s="59">
        <f>IFERROR(D3/E3,"")</f>
        <v>0</v>
      </c>
      <c r="H3" s="62" t="str">
        <f>IF(G3&gt;0.66,"BAD",IF(G3&gt;0.33,"OKAY","GOOD"))</f>
        <v>GOOD</v>
      </c>
      <c r="I3" s="63" t="str">
        <f>IF(G3&gt;0.89,"YES","")</f>
        <v/>
      </c>
      <c r="J3" s="60"/>
    </row>
    <row r="4" spans="1:10">
      <c r="A4" s="52" t="s">
        <v>108</v>
      </c>
      <c r="B4" s="46" t="s">
        <v>58</v>
      </c>
      <c r="C4" s="65" t="s">
        <v>21</v>
      </c>
      <c r="D4" s="58">
        <f>VLOOKUP($A4,CreditLimitData!$A:$F,4,0)</f>
        <v>16271.1</v>
      </c>
      <c r="E4" s="51">
        <f>VLOOKUP($A4,CreditLimitData!$A:$F,5,0)</f>
        <v>26000</v>
      </c>
      <c r="F4" s="51">
        <f>VLOOKUP($A4,CreditLimitData!$A:$F,6,0)</f>
        <v>9728.9</v>
      </c>
      <c r="G4" s="59">
        <f t="shared" ref="G4:G12" si="0">IFERROR(D4/E4,"")</f>
        <v>0.62581153846153847</v>
      </c>
      <c r="H4" s="62" t="str">
        <f t="shared" ref="H4:H12" si="1">IF(G4&gt;0.66,"BAD",IF(G4&gt;0.33,"OKAY","GOOD"))</f>
        <v>OKAY</v>
      </c>
      <c r="I4" s="63" t="str">
        <f t="shared" ref="I4:I12" si="2">IF(G4&gt;0.89,"YES","")</f>
        <v/>
      </c>
      <c r="J4" s="61"/>
    </row>
    <row r="5" spans="1:10">
      <c r="A5" s="52" t="s">
        <v>109</v>
      </c>
      <c r="B5" s="46" t="s">
        <v>60</v>
      </c>
      <c r="C5" s="65" t="s">
        <v>20</v>
      </c>
      <c r="D5" s="58">
        <f>VLOOKUP($A5,CreditLimitData!$A:$F,4,0)</f>
        <v>8288.5</v>
      </c>
      <c r="E5" s="51">
        <f>VLOOKUP($A5,CreditLimitData!$A:$F,5,0)</f>
        <v>8500</v>
      </c>
      <c r="F5" s="51">
        <f>VLOOKUP($A5,CreditLimitData!$A:$F,6,0)</f>
        <v>211.5</v>
      </c>
      <c r="G5" s="59">
        <f t="shared" si="0"/>
        <v>0.97511764705882353</v>
      </c>
      <c r="H5" s="62" t="str">
        <f t="shared" si="1"/>
        <v>BAD</v>
      </c>
      <c r="I5" s="63" t="str">
        <f t="shared" si="2"/>
        <v>YES</v>
      </c>
      <c r="J5" s="61"/>
    </row>
    <row r="6" spans="1:10">
      <c r="A6" s="52" t="s">
        <v>110</v>
      </c>
      <c r="B6" s="46" t="s">
        <v>61</v>
      </c>
      <c r="C6" s="65" t="s">
        <v>21</v>
      </c>
      <c r="D6" s="58">
        <f>VLOOKUP($A6,CreditLimitData!$A:$F,4,0)</f>
        <v>8612.5</v>
      </c>
      <c r="E6" s="51">
        <f>VLOOKUP($A6,CreditLimitData!$A:$F,5,0)</f>
        <v>39000</v>
      </c>
      <c r="F6" s="51">
        <f>VLOOKUP($A6,CreditLimitData!$A:$F,6,0)</f>
        <v>30387.5</v>
      </c>
      <c r="G6" s="59">
        <f t="shared" si="0"/>
        <v>0.22083333333333333</v>
      </c>
      <c r="H6" s="62" t="str">
        <f t="shared" si="1"/>
        <v>GOOD</v>
      </c>
      <c r="I6" s="63" t="str">
        <f t="shared" si="2"/>
        <v/>
      </c>
      <c r="J6" s="61"/>
    </row>
    <row r="7" spans="1:10">
      <c r="A7" s="52" t="s">
        <v>111</v>
      </c>
      <c r="B7" s="46" t="s">
        <v>62</v>
      </c>
      <c r="C7" s="65" t="s">
        <v>21</v>
      </c>
      <c r="D7" s="58">
        <f>VLOOKUP($A7,CreditLimitData!$A:$F,4,0)</f>
        <v>18888.34</v>
      </c>
      <c r="E7" s="51">
        <f>VLOOKUP($A7,CreditLimitData!$A:$F,5,0)</f>
        <v>38000</v>
      </c>
      <c r="F7" s="51">
        <f>VLOOKUP($A7,CreditLimitData!$A:$F,6,0)</f>
        <v>19111.66</v>
      </c>
      <c r="G7" s="59">
        <f t="shared" si="0"/>
        <v>0.49706157894736841</v>
      </c>
      <c r="H7" s="62" t="str">
        <f t="shared" si="1"/>
        <v>OKAY</v>
      </c>
      <c r="I7" s="63" t="str">
        <f t="shared" si="2"/>
        <v/>
      </c>
      <c r="J7" s="61"/>
    </row>
    <row r="8" spans="1:10">
      <c r="A8" s="52" t="s">
        <v>112</v>
      </c>
      <c r="B8" s="46" t="s">
        <v>63</v>
      </c>
      <c r="C8" s="65" t="s">
        <v>26</v>
      </c>
      <c r="D8" s="58">
        <f>VLOOKUP($A8,CreditLimitData!$A:$F,4,0)</f>
        <v>7446.12</v>
      </c>
      <c r="E8" s="51">
        <f>VLOOKUP($A8,CreditLimitData!$A:$F,5,0)</f>
        <v>14000</v>
      </c>
      <c r="F8" s="51">
        <f>VLOOKUP($A8,CreditLimitData!$A:$F,6,0)</f>
        <v>6553.88</v>
      </c>
      <c r="G8" s="59">
        <f t="shared" si="0"/>
        <v>0.53186571428571428</v>
      </c>
      <c r="H8" s="62" t="str">
        <f t="shared" si="1"/>
        <v>OKAY</v>
      </c>
      <c r="I8" s="63" t="str">
        <f t="shared" si="2"/>
        <v/>
      </c>
      <c r="J8" s="61"/>
    </row>
    <row r="9" spans="1:10">
      <c r="A9" s="52" t="s">
        <v>113</v>
      </c>
      <c r="B9" s="46" t="s">
        <v>64</v>
      </c>
      <c r="C9" s="65" t="s">
        <v>20</v>
      </c>
      <c r="D9" s="58">
        <f>VLOOKUP($A9,CreditLimitData!$A:$F,4,0)</f>
        <v>1806.61</v>
      </c>
      <c r="E9" s="51">
        <f>VLOOKUP($A9,CreditLimitData!$A:$F,5,0)</f>
        <v>10000</v>
      </c>
      <c r="F9" s="51">
        <f>VLOOKUP($A9,CreditLimitData!$A:$F,6,0)</f>
        <v>8193.39</v>
      </c>
      <c r="G9" s="59">
        <f t="shared" si="0"/>
        <v>0.18066099999999999</v>
      </c>
      <c r="H9" s="62" t="str">
        <f t="shared" si="1"/>
        <v>GOOD</v>
      </c>
      <c r="I9" s="63" t="str">
        <f t="shared" si="2"/>
        <v/>
      </c>
      <c r="J9" s="61"/>
    </row>
    <row r="10" spans="1:10">
      <c r="A10" s="52" t="s">
        <v>114</v>
      </c>
      <c r="B10" s="46" t="s">
        <v>65</v>
      </c>
      <c r="C10" s="65" t="s">
        <v>26</v>
      </c>
      <c r="D10" s="58">
        <f>VLOOKUP($A10,CreditLimitData!$A:$F,4,0)</f>
        <v>53571.55</v>
      </c>
      <c r="E10" s="51">
        <f>VLOOKUP($A10,CreditLimitData!$A:$F,5,0)</f>
        <v>80000</v>
      </c>
      <c r="F10" s="51">
        <f>VLOOKUP($A10,CreditLimitData!$A:$F,6,0)</f>
        <v>26428.45</v>
      </c>
      <c r="G10" s="59">
        <f t="shared" si="0"/>
        <v>0.66964437500000007</v>
      </c>
      <c r="H10" s="62" t="str">
        <f t="shared" si="1"/>
        <v>BAD</v>
      </c>
      <c r="I10" s="63" t="str">
        <f t="shared" si="2"/>
        <v/>
      </c>
      <c r="J10" s="61"/>
    </row>
    <row r="11" spans="1:10">
      <c r="A11" s="52" t="s">
        <v>115</v>
      </c>
      <c r="B11" s="46" t="s">
        <v>66</v>
      </c>
      <c r="C11" s="65" t="s">
        <v>26</v>
      </c>
      <c r="D11" s="58">
        <f>VLOOKUP($A11,CreditLimitData!$A:$F,4,0)</f>
        <v>7561.4</v>
      </c>
      <c r="E11" s="51">
        <f>VLOOKUP($A11,CreditLimitData!$A:$F,5,0)</f>
        <v>12000</v>
      </c>
      <c r="F11" s="51">
        <f>VLOOKUP($A11,CreditLimitData!$A:$F,6,0)</f>
        <v>4438.6000000000004</v>
      </c>
      <c r="G11" s="59">
        <f t="shared" si="0"/>
        <v>0.63011666666666666</v>
      </c>
      <c r="H11" s="62" t="str">
        <f t="shared" si="1"/>
        <v>OKAY</v>
      </c>
      <c r="I11" s="63" t="str">
        <f t="shared" si="2"/>
        <v/>
      </c>
      <c r="J11" s="61"/>
    </row>
    <row r="12" spans="1:10">
      <c r="A12" s="52" t="s">
        <v>116</v>
      </c>
      <c r="B12" s="46" t="s">
        <v>67</v>
      </c>
      <c r="C12" s="65" t="s">
        <v>26</v>
      </c>
      <c r="D12" s="58">
        <f>VLOOKUP($A12,CreditLimitData!$A:$F,4,0)</f>
        <v>12128.73</v>
      </c>
      <c r="E12" s="51">
        <f>VLOOKUP($A12,CreditLimitData!$A:$F,5,0)</f>
        <v>15000</v>
      </c>
      <c r="F12" s="51">
        <f>VLOOKUP($A12,CreditLimitData!$A:$F,6,0)</f>
        <v>2871.27</v>
      </c>
      <c r="G12" s="59">
        <f t="shared" si="0"/>
        <v>0.80858200000000002</v>
      </c>
      <c r="H12" s="62" t="str">
        <f t="shared" si="1"/>
        <v>BAD</v>
      </c>
      <c r="I12" s="63" t="str">
        <f t="shared" si="2"/>
        <v/>
      </c>
      <c r="J12" s="61"/>
    </row>
  </sheetData>
  <conditionalFormatting sqref="F4:F11">
    <cfRule type="cellIs" dxfId="5" priority="9" operator="lessThan">
      <formula>1500</formula>
    </cfRule>
  </conditionalFormatting>
  <conditionalFormatting sqref="G3:G12">
    <cfRule type="cellIs" dxfId="4" priority="5" operator="greaterThan">
      <formula>0.8</formula>
    </cfRule>
  </conditionalFormatting>
  <conditionalFormatting sqref="H3:H12">
    <cfRule type="cellIs" dxfId="3" priority="1" operator="equal">
      <formula>"GOOD"</formula>
    </cfRule>
    <cfRule type="cellIs" dxfId="2" priority="2" operator="equal">
      <formula>"OKAY"</formula>
    </cfRule>
    <cfRule type="cellIs" dxfId="1" priority="3" operator="equal">
      <formula>"BAD"</formula>
    </cfRule>
  </conditionalFormatting>
  <conditionalFormatting sqref="I3:I12">
    <cfRule type="cellIs" dxfId="0" priority="4" operator="equal">
      <formula>"YES"</formula>
    </cfRule>
  </conditionalFormatting>
  <pageMargins left="0.25" right="0.25" top="0.75" bottom="0.75" header="0.3" footer="0.3"/>
  <pageSetup scale="6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8FC9-0C56-49FA-AF2D-5E1EC2AD4DCE}">
  <sheetPr codeName="Sheet4">
    <tabColor theme="9" tint="0.79998168889431442"/>
  </sheetPr>
  <dimension ref="A2:W216"/>
  <sheetViews>
    <sheetView workbookViewId="0">
      <selection activeCell="I5" sqref="A5:I5"/>
    </sheetView>
  </sheetViews>
  <sheetFormatPr defaultRowHeight="15"/>
  <cols>
    <col min="1" max="9" width="9.140625" customWidth="1"/>
    <col min="10" max="10" width="11" customWidth="1"/>
    <col min="11" max="11" width="10.5703125" customWidth="1"/>
    <col min="12" max="12" width="11.85546875" customWidth="1"/>
    <col min="13" max="13" width="9.140625" customWidth="1"/>
    <col min="14" max="14" width="10.7109375" bestFit="1" customWidth="1"/>
    <col min="15" max="18" width="9.140625" customWidth="1"/>
    <col min="19" max="19" width="10" bestFit="1" customWidth="1"/>
    <col min="20" max="20" width="9.140625" customWidth="1"/>
    <col min="21" max="22" width="10.42578125" bestFit="1" customWidth="1"/>
    <col min="23" max="94" width="9.140625" customWidth="1"/>
  </cols>
  <sheetData>
    <row r="2" spans="1:23">
      <c r="P2" s="2" t="s">
        <v>43</v>
      </c>
    </row>
    <row r="3" spans="1:23">
      <c r="P3" s="2" t="s">
        <v>44</v>
      </c>
    </row>
    <row r="6" spans="1:23">
      <c r="A6" t="s">
        <v>0</v>
      </c>
      <c r="B6" t="s">
        <v>28</v>
      </c>
      <c r="C6" t="s">
        <v>29</v>
      </c>
      <c r="D6" s="10" t="s">
        <v>98</v>
      </c>
      <c r="E6" s="10" t="s">
        <v>99</v>
      </c>
      <c r="F6" s="10" t="s">
        <v>100</v>
      </c>
      <c r="G6" s="10" t="s">
        <v>101</v>
      </c>
      <c r="J6" t="s">
        <v>0</v>
      </c>
      <c r="K6" t="s">
        <v>31</v>
      </c>
      <c r="L6" t="s">
        <v>119</v>
      </c>
      <c r="N6" t="s">
        <v>31</v>
      </c>
      <c r="O6" t="s">
        <v>119</v>
      </c>
      <c r="R6" t="s">
        <v>0</v>
      </c>
      <c r="S6" t="s">
        <v>45</v>
      </c>
      <c r="T6" t="s">
        <v>72</v>
      </c>
      <c r="U6" t="s">
        <v>48</v>
      </c>
      <c r="V6" t="s">
        <v>47</v>
      </c>
      <c r="W6" t="s">
        <v>46</v>
      </c>
    </row>
    <row r="7" spans="1:23">
      <c r="A7" t="str">
        <f>Dashboard!$B$2</f>
        <v>C05</v>
      </c>
      <c r="B7">
        <v>2024</v>
      </c>
      <c r="C7">
        <v>6</v>
      </c>
      <c r="D7" s="9">
        <f>IFERROR(AVERAGEIFS(QueryData!$M:$M,QueryData!$A:$A,DataProcessing!$A7,QueryData!$I:$I,DataProcessing!$B7,QueryData!$J:$J,DataProcessing!$C7),"")</f>
        <v>33.200000000000003</v>
      </c>
      <c r="E7" s="8">
        <f>COUNTIFS(QueryData!$O:$O,"&gt;0",QueryData!$A:$A,$A7,QueryData!$I:$I,$B7,QueryData!$J:$J,$C7)</f>
        <v>5</v>
      </c>
      <c r="F7" s="11">
        <f>IFERROR(AVERAGEIFS(QueryData!$O:$O,QueryData!$A:$A,$A7,QueryData!$I:$I,$B7,QueryData!$J:$J,$C7),"")</f>
        <v>4085.71</v>
      </c>
      <c r="G7" s="11">
        <f>SUMIFS(QueryData!$O:$O,QueryData!$A:$A,DataProcessing!$A7,QueryData!$I:$I,DataProcessing!$B7,QueryData!$J:$J,DataProcessing!$C7)</f>
        <v>20428.55</v>
      </c>
      <c r="J7" t="str">
        <f>Dashboard!$B$2</f>
        <v>C05</v>
      </c>
      <c r="K7" s="19">
        <f>SUMIFS(QueryData!$U:$U,QueryData!$M:$M,DataProcessing!$J$7)</f>
        <v>0</v>
      </c>
      <c r="L7" s="19">
        <f>SUMIFS(QueryData!$U:$U,QueryData!$M:$M,DataProcessing!$J$7,QueryData!$AC:$AC,"&gt;30")</f>
        <v>0</v>
      </c>
      <c r="N7" s="19">
        <f>SUMIFS(QueryData!$U:$U,QueryData!$M:$M,DataProcessing!$J$7,QueryData!$P:$P,DataProcessing!$M$7)</f>
        <v>0</v>
      </c>
      <c r="O7" s="19">
        <f>SUMIFS(QueryData!$U:$U,QueryData!$M:$M,DataProcessing!$J$7,QueryData!$AC:$AC,"&gt;30",QueryData!$P:$P,DataProcessing!$M$7)</f>
        <v>0</v>
      </c>
      <c r="R7" t="str">
        <f>Dashboard!$B$2</f>
        <v>C05</v>
      </c>
      <c r="S7" s="16" cm="1">
        <f t="array" ref="S7:S10">_xlfn._xlws.FILTER(QueryData!$C:$C,(QueryData!$B:$B="IN")*(QueryData!$A:$A=DataProcessing!$R$7)*(QueryData!$N:$N&lt;&gt;0),"NONE")</f>
        <v>140024506</v>
      </c>
      <c r="T7" s="19">
        <f>IFERROR(VLOOKUP($S7,QueryData!$C:$F,4,0),"")</f>
        <v>6243.6</v>
      </c>
      <c r="U7" s="17">
        <f>IFERROR(VLOOKUP($S7,QueryData!$C:$D,2,0),"")</f>
        <v>45791</v>
      </c>
      <c r="V7" s="17">
        <f>IFERROR(VLOOKUP(DataProcessing!$S7,QueryData!$C:$L,10,0),"")</f>
        <v>45821</v>
      </c>
      <c r="W7" s="8">
        <f>IFERROR(VLOOKUP($S7,QueryData!C:N,12,0),"")</f>
        <v>5</v>
      </c>
    </row>
    <row r="8" spans="1:23">
      <c r="A8" t="str">
        <f>Dashboard!$B$2</f>
        <v>C05</v>
      </c>
      <c r="B8">
        <v>2024</v>
      </c>
      <c r="C8">
        <v>7</v>
      </c>
      <c r="D8" s="9">
        <f>IFERROR(AVERAGEIFS(QueryData!$M:$M,QueryData!$A:$A,DataProcessing!$A8,QueryData!$I:$I,DataProcessing!$B8,QueryData!$J:$J,DataProcessing!$C8),"")</f>
        <v>34.666666666666664</v>
      </c>
      <c r="E8" s="8">
        <f>COUNTIFS(QueryData!$O:$O,"&gt;0",QueryData!$A:$A,$A8,QueryData!$I:$I,$B8,QueryData!$J:$J,$C8)</f>
        <v>6</v>
      </c>
      <c r="F8" s="11">
        <f>IFERROR(AVERAGEIFS(QueryData!$O:$O,QueryData!$A:$A,$A8,QueryData!$I:$I,$B8,QueryData!$J:$J,$C8),"")</f>
        <v>4802.55</v>
      </c>
      <c r="G8" s="11">
        <f>SUMIFS(QueryData!$O:$O,QueryData!$A:$A,DataProcessing!$A8,QueryData!$I:$I,DataProcessing!$B8,QueryData!$J:$J,DataProcessing!$C8)</f>
        <v>28815.3</v>
      </c>
      <c r="S8" s="16">
        <v>140025138</v>
      </c>
      <c r="T8" s="19">
        <f>IFERROR(VLOOKUP($S8,QueryData!$C:$F,4,0),"")</f>
        <v>3063.8</v>
      </c>
      <c r="U8" s="17">
        <f>IFERROR(VLOOKUP($S8,QueryData!$C:$D,2,0),"")</f>
        <v>45805</v>
      </c>
      <c r="V8" s="17">
        <f>IFERROR(VLOOKUP(DataProcessing!$S8,QueryData!$C:$L,10,0),"")</f>
        <v>45835</v>
      </c>
      <c r="W8" s="8">
        <f>IFERROR(VLOOKUP($S8,QueryData!C:N,12,0),"")</f>
        <v>-9</v>
      </c>
    </row>
    <row r="9" spans="1:23">
      <c r="A9" t="str">
        <f>Dashboard!$B$2</f>
        <v>C05</v>
      </c>
      <c r="B9">
        <v>2024</v>
      </c>
      <c r="C9">
        <v>8</v>
      </c>
      <c r="D9" s="9">
        <f>IFERROR(AVERAGEIFS(QueryData!$M:$M,QueryData!$A:$A,DataProcessing!$A9,QueryData!$I:$I,DataProcessing!$B9,QueryData!$J:$J,DataProcessing!$C9),"")</f>
        <v>58.333333333333336</v>
      </c>
      <c r="E9" s="8">
        <f>COUNTIFS(QueryData!$O:$O,"&gt;0",QueryData!$A:$A,$A9,QueryData!$I:$I,$B9,QueryData!$J:$J,$C9)</f>
        <v>3</v>
      </c>
      <c r="F9" s="11">
        <f>IFERROR(AVERAGEIFS(QueryData!$O:$O,QueryData!$A:$A,$A9,QueryData!$I:$I,$B9,QueryData!$J:$J,$C9),"")</f>
        <v>2309.2333333333331</v>
      </c>
      <c r="G9" s="11">
        <f>SUMIFS(QueryData!$O:$O,QueryData!$A:$A,DataProcessing!$A9,QueryData!$I:$I,DataProcessing!$B9,QueryData!$J:$J,DataProcessing!$C9)</f>
        <v>13855.4</v>
      </c>
      <c r="S9" s="16">
        <v>140025429</v>
      </c>
      <c r="T9" s="19">
        <f>IFERROR(VLOOKUP($S9,QueryData!$C:$F,4,0),"")</f>
        <v>4533.3599999999997</v>
      </c>
      <c r="U9" s="17">
        <f>IFERROR(VLOOKUP($S9,QueryData!$C:$D,2,0),"")</f>
        <v>45812</v>
      </c>
      <c r="V9" s="17">
        <f>IFERROR(VLOOKUP(DataProcessing!$S9,QueryData!$C:$L,10,0),"")</f>
        <v>45842</v>
      </c>
      <c r="W9" s="8">
        <f>IFERROR(VLOOKUP($S9,QueryData!C:N,12,0),"")</f>
        <v>-16</v>
      </c>
    </row>
    <row r="10" spans="1:23">
      <c r="A10" t="str">
        <f>Dashboard!$B$2</f>
        <v>C05</v>
      </c>
      <c r="B10">
        <v>2024</v>
      </c>
      <c r="C10">
        <v>9</v>
      </c>
      <c r="D10" s="9">
        <f>IFERROR(AVERAGEIFS(QueryData!$M:$M,QueryData!$A:$A,DataProcessing!$A10,QueryData!$I:$I,DataProcessing!$B10,QueryData!$J:$J,DataProcessing!$C10),"")</f>
        <v>31.5</v>
      </c>
      <c r="E10" s="8">
        <f>COUNTIFS(QueryData!$O:$O,"&gt;0",QueryData!$A:$A,$A10,QueryData!$I:$I,$B10,QueryData!$J:$J,$C10)</f>
        <v>4</v>
      </c>
      <c r="F10" s="11">
        <f>IFERROR(AVERAGEIFS(QueryData!$O:$O,QueryData!$A:$A,$A10,QueryData!$I:$I,$B10,QueryData!$J:$J,$C10),"")</f>
        <v>3664.7249999999999</v>
      </c>
      <c r="G10" s="11">
        <f>SUMIFS(QueryData!$O:$O,QueryData!$A:$A,DataProcessing!$A10,QueryData!$I:$I,DataProcessing!$B10,QueryData!$J:$J,DataProcessing!$C10)</f>
        <v>14658.9</v>
      </c>
      <c r="S10" s="16">
        <v>140026079</v>
      </c>
      <c r="T10" s="19">
        <f>IFERROR(VLOOKUP($S10,QueryData!$C:$F,4,0),"")</f>
        <v>5047.58</v>
      </c>
      <c r="U10" s="17">
        <f>IFERROR(VLOOKUP($S10,QueryData!$C:$D,2,0),"")</f>
        <v>45826</v>
      </c>
      <c r="V10" s="17">
        <f>IFERROR(VLOOKUP(DataProcessing!$S10,QueryData!$C:$L,10,0),"")</f>
        <v>45856</v>
      </c>
      <c r="W10" s="8">
        <f>IFERROR(VLOOKUP($S10,QueryData!C:N,12,0),"")</f>
        <v>-30</v>
      </c>
    </row>
    <row r="11" spans="1:23">
      <c r="A11" t="str">
        <f>Dashboard!$B$2</f>
        <v>C05</v>
      </c>
      <c r="B11">
        <v>2024</v>
      </c>
      <c r="C11">
        <v>10</v>
      </c>
      <c r="D11" s="9">
        <f>IFERROR(AVERAGEIFS(QueryData!$M:$M,QueryData!$A:$A,DataProcessing!$A11,QueryData!$I:$I,DataProcessing!$B11,QueryData!$J:$J,DataProcessing!$C11),"")</f>
        <v>55.666666666666664</v>
      </c>
      <c r="E11" s="8">
        <f>COUNTIFS(QueryData!$O:$O,"&gt;0",QueryData!$A:$A,$A11,QueryData!$I:$I,$B11,QueryData!$J:$J,$C11)</f>
        <v>3</v>
      </c>
      <c r="F11" s="11">
        <f>IFERROR(AVERAGEIFS(QueryData!$O:$O,QueryData!$A:$A,$A11,QueryData!$I:$I,$B11,QueryData!$J:$J,$C11),"")</f>
        <v>4643.625</v>
      </c>
      <c r="G11" s="11">
        <f>SUMIFS(QueryData!$O:$O,QueryData!$A:$A,DataProcessing!$A11,QueryData!$I:$I,DataProcessing!$B11,QueryData!$J:$J,DataProcessing!$C11)</f>
        <v>18574.5</v>
      </c>
      <c r="S11" s="16"/>
      <c r="T11" s="19" t="str">
        <f>IFERROR(VLOOKUP($S11,QueryData!$C:$F,4,0),"")</f>
        <v/>
      </c>
      <c r="U11" s="17" t="str">
        <f>IFERROR(VLOOKUP($S11,QueryData!$C:$D,2,0),"")</f>
        <v/>
      </c>
      <c r="V11" s="17" t="str">
        <f>IFERROR(VLOOKUP(DataProcessing!$S11,QueryData!$C:$L,10,0),"")</f>
        <v/>
      </c>
      <c r="W11" s="8" t="str">
        <f>IFERROR(VLOOKUP($S11,QueryData!C:N,12,0),"")</f>
        <v/>
      </c>
    </row>
    <row r="12" spans="1:23">
      <c r="A12" t="str">
        <f>Dashboard!$B$2</f>
        <v>C05</v>
      </c>
      <c r="B12">
        <v>2024</v>
      </c>
      <c r="C12">
        <v>11</v>
      </c>
      <c r="D12" s="9">
        <f>IFERROR(AVERAGEIFS(QueryData!$M:$M,QueryData!$A:$A,DataProcessing!$A12,QueryData!$I:$I,DataProcessing!$B12,QueryData!$J:$J,DataProcessing!$C12),"")</f>
        <v>26</v>
      </c>
      <c r="E12" s="8">
        <f>COUNTIFS(QueryData!$O:$O,"&gt;0",QueryData!$A:$A,$A12,QueryData!$I:$I,$B12,QueryData!$J:$J,$C12)</f>
        <v>3</v>
      </c>
      <c r="F12" s="11">
        <f>IFERROR(AVERAGEIFS(QueryData!$O:$O,QueryData!$A:$A,$A12,QueryData!$I:$I,$B12,QueryData!$J:$J,$C12),"")</f>
        <v>3918.1324999999997</v>
      </c>
      <c r="G12" s="11">
        <f>SUMIFS(QueryData!$O:$O,QueryData!$A:$A,DataProcessing!$A12,QueryData!$I:$I,DataProcessing!$B12,QueryData!$J:$J,DataProcessing!$C12)</f>
        <v>15672.529999999999</v>
      </c>
      <c r="S12" s="16"/>
      <c r="T12" s="19" t="str">
        <f>IFERROR(VLOOKUP($S12,QueryData!$C:$F,4,0),"")</f>
        <v/>
      </c>
      <c r="U12" s="17" t="str">
        <f>IFERROR(VLOOKUP($S12,QueryData!$C:$D,2,0),"")</f>
        <v/>
      </c>
      <c r="V12" s="17" t="str">
        <f>IFERROR(VLOOKUP(DataProcessing!$S12,QueryData!$C:$L,10,0),"")</f>
        <v/>
      </c>
      <c r="W12" s="8" t="str">
        <f>IFERROR(VLOOKUP($S12,QueryData!C:N,12,0),"")</f>
        <v/>
      </c>
    </row>
    <row r="13" spans="1:23">
      <c r="A13" t="str">
        <f>Dashboard!$B$2</f>
        <v>C05</v>
      </c>
      <c r="B13">
        <v>2024</v>
      </c>
      <c r="C13">
        <v>12</v>
      </c>
      <c r="D13" s="9">
        <f>IFERROR(AVERAGEIFS(QueryData!$M:$M,QueryData!$A:$A,DataProcessing!$A13,QueryData!$I:$I,DataProcessing!$B13,QueryData!$J:$J,DataProcessing!$C13),"")</f>
        <v>57</v>
      </c>
      <c r="E13" s="8">
        <f>COUNTIFS(QueryData!$O:$O,"&gt;0",QueryData!$A:$A,$A13,QueryData!$I:$I,$B13,QueryData!$J:$J,$C13)</f>
        <v>4</v>
      </c>
      <c r="F13" s="11">
        <f>IFERROR(AVERAGEIFS(QueryData!$O:$O,QueryData!$A:$A,$A13,QueryData!$I:$I,$B13,QueryData!$J:$J,$C13),"")</f>
        <v>3681.0080000000003</v>
      </c>
      <c r="G13" s="11">
        <f>SUMIFS(QueryData!$O:$O,QueryData!$A:$A,DataProcessing!$A13,QueryData!$I:$I,DataProcessing!$B13,QueryData!$J:$J,DataProcessing!$C13)</f>
        <v>18405.04</v>
      </c>
      <c r="S13" s="16"/>
      <c r="T13" s="19" t="str">
        <f>IFERROR(VLOOKUP($S13,QueryData!$C:$F,4,0),"")</f>
        <v/>
      </c>
      <c r="U13" s="17" t="str">
        <f>IFERROR(VLOOKUP($S13,QueryData!$C:$D,2,0),"")</f>
        <v/>
      </c>
      <c r="V13" s="17" t="str">
        <f>IFERROR(VLOOKUP(DataProcessing!$S13,QueryData!$C:$L,10,0),"")</f>
        <v/>
      </c>
      <c r="W13" s="8" t="str">
        <f>IFERROR(VLOOKUP($S13,QueryData!C:N,12,0),"")</f>
        <v/>
      </c>
    </row>
    <row r="14" spans="1:23">
      <c r="A14" t="str">
        <f>Dashboard!$B$2</f>
        <v>C05</v>
      </c>
      <c r="B14">
        <v>2025</v>
      </c>
      <c r="C14">
        <v>1</v>
      </c>
      <c r="D14" s="9">
        <f>IFERROR(AVERAGEIFS(QueryData!$M:$M,QueryData!$A:$A,DataProcessing!$A14,QueryData!$I:$I,DataProcessing!$B14,QueryData!$J:$J,DataProcessing!$C14),"")</f>
        <v>24.75</v>
      </c>
      <c r="E14" s="8">
        <f>COUNTIFS(QueryData!$O:$O,"&gt;0",QueryData!$A:$A,$A14,QueryData!$I:$I,$B14,QueryData!$J:$J,$C14)</f>
        <v>4</v>
      </c>
      <c r="F14" s="11">
        <f>IFERROR(AVERAGEIFS(QueryData!$O:$O,QueryData!$A:$A,$A14,QueryData!$I:$I,$B14,QueryData!$J:$J,$C14),"")</f>
        <v>3110.5166666666669</v>
      </c>
      <c r="G14" s="11">
        <f>SUMIFS(QueryData!$O:$O,QueryData!$A:$A,DataProcessing!$A14,QueryData!$I:$I,DataProcessing!$B14,QueryData!$J:$J,DataProcessing!$C14)</f>
        <v>18663.100000000002</v>
      </c>
      <c r="S14" s="16"/>
      <c r="T14" s="19" t="str">
        <f>IFERROR(VLOOKUP($S14,QueryData!$C:$F,4,0),"")</f>
        <v/>
      </c>
      <c r="U14" s="17" t="str">
        <f>IFERROR(VLOOKUP($S14,QueryData!$C:$D,2,0),"")</f>
        <v/>
      </c>
      <c r="V14" s="17" t="str">
        <f>IFERROR(VLOOKUP(DataProcessing!$S14,QueryData!$C:$L,10,0),"")</f>
        <v/>
      </c>
      <c r="W14" s="8" t="str">
        <f>IFERROR(VLOOKUP($S14,QueryData!C:N,12,0),"")</f>
        <v/>
      </c>
    </row>
    <row r="15" spans="1:23">
      <c r="A15" t="str">
        <f>Dashboard!$B$2</f>
        <v>C05</v>
      </c>
      <c r="B15">
        <v>2025</v>
      </c>
      <c r="C15">
        <v>2</v>
      </c>
      <c r="D15" s="9">
        <f>IFERROR(AVERAGEIFS(QueryData!$M:$M,QueryData!$A:$A,DataProcessing!$A15,QueryData!$I:$I,DataProcessing!$B15,QueryData!$J:$J,DataProcessing!$C15),"")</f>
        <v>38.333333333333336</v>
      </c>
      <c r="E15" s="8">
        <f>COUNTIFS(QueryData!$O:$O,"&gt;0",QueryData!$A:$A,$A15,QueryData!$I:$I,$B15,QueryData!$J:$J,$C15)</f>
        <v>3</v>
      </c>
      <c r="F15" s="11">
        <f>IFERROR(AVERAGEIFS(QueryData!$O:$O,QueryData!$A:$A,$A15,QueryData!$I:$I,$B15,QueryData!$J:$J,$C15),"")</f>
        <v>2827.9900000000002</v>
      </c>
      <c r="G15" s="11">
        <f>SUMIFS(QueryData!$O:$O,QueryData!$A:$A,DataProcessing!$A15,QueryData!$I:$I,DataProcessing!$B15,QueryData!$J:$J,DataProcessing!$C15)</f>
        <v>14139.95</v>
      </c>
      <c r="S15" s="16"/>
      <c r="T15" s="19" t="str">
        <f>IFERROR(VLOOKUP($S15,QueryData!$C:$F,4,0),"")</f>
        <v/>
      </c>
      <c r="U15" s="17" t="str">
        <f>IFERROR(VLOOKUP($S15,QueryData!$C:$D,2,0),"")</f>
        <v/>
      </c>
      <c r="V15" s="17" t="str">
        <f>IFERROR(VLOOKUP(DataProcessing!$S15,QueryData!$C:$L,10,0),"")</f>
        <v/>
      </c>
      <c r="W15" s="8" t="str">
        <f>IFERROR(VLOOKUP($S15,QueryData!C:N,12,0),"")</f>
        <v/>
      </c>
    </row>
    <row r="16" spans="1:23">
      <c r="A16" t="str">
        <f>Dashboard!$B$2</f>
        <v>C05</v>
      </c>
      <c r="B16">
        <v>2025</v>
      </c>
      <c r="C16">
        <v>3</v>
      </c>
      <c r="D16" s="9">
        <f>IFERROR(AVERAGEIFS(QueryData!$M:$M,QueryData!$A:$A,DataProcessing!$A16,QueryData!$I:$I,DataProcessing!$B16,QueryData!$J:$J,DataProcessing!$C16),"")</f>
        <v>32.799999999999997</v>
      </c>
      <c r="E16" s="8">
        <f>COUNTIFS(QueryData!$O:$O,"&gt;0",QueryData!$A:$A,$A16,QueryData!$I:$I,$B16,QueryData!$J:$J,$C16)</f>
        <v>5</v>
      </c>
      <c r="F16" s="11">
        <f>IFERROR(AVERAGEIFS(QueryData!$O:$O,QueryData!$A:$A,$A16,QueryData!$I:$I,$B16,QueryData!$J:$J,$C16),"")</f>
        <v>2055.3024999999998</v>
      </c>
      <c r="G16" s="11">
        <f>SUMIFS(QueryData!$O:$O,QueryData!$A:$A,DataProcessing!$A16,QueryData!$I:$I,DataProcessing!$B16,QueryData!$J:$J,DataProcessing!$C16)</f>
        <v>16442.419999999998</v>
      </c>
      <c r="J16" t="s">
        <v>0</v>
      </c>
      <c r="K16" t="s">
        <v>104</v>
      </c>
      <c r="L16" t="s">
        <v>105</v>
      </c>
      <c r="M16" t="s">
        <v>42</v>
      </c>
      <c r="N16" t="s">
        <v>106</v>
      </c>
      <c r="S16" s="16"/>
      <c r="T16" s="19" t="str">
        <f>IFERROR(VLOOKUP($S16,QueryData!$C:$F,4,0),"")</f>
        <v/>
      </c>
      <c r="U16" s="17" t="str">
        <f>IFERROR(VLOOKUP($S16,QueryData!$C:$D,2,0),"")</f>
        <v/>
      </c>
      <c r="V16" s="17" t="str">
        <f>IFERROR(VLOOKUP(DataProcessing!$S16,QueryData!$C:$L,10,0),"")</f>
        <v/>
      </c>
      <c r="W16" s="8" t="str">
        <f>IFERROR(VLOOKUP($S16,QueryData!C:N,12,0),"")</f>
        <v/>
      </c>
    </row>
    <row r="17" spans="1:23">
      <c r="A17" t="str">
        <f>Dashboard!$B$2</f>
        <v>C05</v>
      </c>
      <c r="B17">
        <v>2025</v>
      </c>
      <c r="C17">
        <v>4</v>
      </c>
      <c r="D17" s="9">
        <f>IFERROR(AVERAGEIFS(QueryData!$M:$M,QueryData!$A:$A,DataProcessing!$A17,QueryData!$I:$I,DataProcessing!$B17,QueryData!$J:$J,DataProcessing!$C17),"")</f>
        <v>31.5</v>
      </c>
      <c r="E17" s="8">
        <f>COUNTIFS(QueryData!$O:$O,"&gt;0",QueryData!$A:$A,$A17,QueryData!$I:$I,$B17,QueryData!$J:$J,$C17)</f>
        <v>4</v>
      </c>
      <c r="F17" s="11">
        <f>IFERROR(AVERAGEIFS(QueryData!$O:$O,QueryData!$A:$A,$A17,QueryData!$I:$I,$B17,QueryData!$J:$J,$C17),"")</f>
        <v>2977.5666666666671</v>
      </c>
      <c r="G17" s="11">
        <f>SUMIFS(QueryData!$O:$O,QueryData!$A:$A,DataProcessing!$A17,QueryData!$I:$I,DataProcessing!$B17,QueryData!$J:$J,DataProcessing!$C17)</f>
        <v>17865.400000000001</v>
      </c>
      <c r="J17" t="str">
        <f>Dashboard!$B$2</f>
        <v>C05</v>
      </c>
      <c r="K17" s="19">
        <f>IFERROR(AVERAGE(G16+G29,G17+G30,G18+G31),"")</f>
        <v>17421.673333333336</v>
      </c>
      <c r="L17" s="9">
        <f>IFERROR(AVERAGE(E16+E29,E17+E30,E18+E31),"")</f>
        <v>4</v>
      </c>
      <c r="M17" s="19">
        <f>IFERROR(K23-K17+F19,"")</f>
        <v>6480.4566666666633</v>
      </c>
      <c r="N17" s="14" t="str">
        <f>IFERROR(IF(M17&gt;0,"OK","Imminent"),"")</f>
        <v>OK</v>
      </c>
      <c r="S17" s="16"/>
      <c r="T17" s="19" t="str">
        <f>IFERROR(VLOOKUP($S17,QueryData!$C:$F,4,0),"")</f>
        <v/>
      </c>
      <c r="U17" s="17" t="str">
        <f>IFERROR(VLOOKUP($S17,QueryData!$C:$D,2,0),"")</f>
        <v/>
      </c>
      <c r="V17" s="17" t="str">
        <f>IFERROR(VLOOKUP(DataProcessing!$S17,QueryData!$C:$L,10,0),"")</f>
        <v/>
      </c>
      <c r="W17" s="8" t="str">
        <f>IFERROR(VLOOKUP($S17,QueryData!C:N,12,0),"")</f>
        <v/>
      </c>
    </row>
    <row r="18" spans="1:23">
      <c r="A18" t="str">
        <f>Dashboard!$B$2</f>
        <v>C05</v>
      </c>
      <c r="B18">
        <v>2025</v>
      </c>
      <c r="C18">
        <v>5</v>
      </c>
      <c r="D18" s="9">
        <f>IFERROR(AVERAGEIFS(QueryData!$M:$M,QueryData!$A:$A,DataProcessing!$A18,QueryData!$I:$I,DataProcessing!$B18,QueryData!$J:$J,DataProcessing!$C18),"")</f>
        <v>17.5</v>
      </c>
      <c r="E18" s="8">
        <f>COUNTIFS(QueryData!$O:$O,"&gt;0",QueryData!$A:$A,$A18,QueryData!$I:$I,$B18,QueryData!$J:$J,$C18)</f>
        <v>3</v>
      </c>
      <c r="F18" s="11">
        <f>IFERROR(AVERAGEIFS(QueryData!$O:$O,QueryData!$A:$A,$A18,QueryData!$I:$I,$B18,QueryData!$J:$J,$C18),"")</f>
        <v>5985.7333333333336</v>
      </c>
      <c r="G18" s="11">
        <f>SUMIFS(QueryData!$O:$O,QueryData!$A:$A,DataProcessing!$A18,QueryData!$I:$I,DataProcessing!$B18,QueryData!$J:$J,DataProcessing!$C18)</f>
        <v>17957.2</v>
      </c>
      <c r="S18" s="16"/>
      <c r="T18" s="19" t="str">
        <f>IFERROR(VLOOKUP($S18,QueryData!$C:$F,4,0),"")</f>
        <v/>
      </c>
      <c r="U18" s="17" t="str">
        <f>IFERROR(VLOOKUP($S18,QueryData!$C:$D,2,0),"")</f>
        <v/>
      </c>
      <c r="V18" s="17" t="str">
        <f>IFERROR(VLOOKUP(DataProcessing!$S18,QueryData!$C:$L,10,0),"")</f>
        <v/>
      </c>
      <c r="W18" s="8" t="str">
        <f>IFERROR(VLOOKUP($S18,QueryData!C:N,12,0),"")</f>
        <v/>
      </c>
    </row>
    <row r="19" spans="1:23">
      <c r="A19" t="str">
        <f>Dashboard!$B$2</f>
        <v>C05</v>
      </c>
      <c r="B19">
        <v>2025</v>
      </c>
      <c r="C19">
        <v>6</v>
      </c>
      <c r="D19" s="9" t="str">
        <f>IFERROR(AVERAGEIFS(QueryData!$M:$M,QueryData!$A:$A,DataProcessing!$A19,QueryData!$I:$I,DataProcessing!$B19,QueryData!$J:$J,DataProcessing!$C19),"")</f>
        <v/>
      </c>
      <c r="E19" s="8">
        <f>COUNTIFS(QueryData!$O:$O,"&gt;0",QueryData!$A:$A,$A19,QueryData!$I:$I,$B19,QueryData!$J:$J,$C19)</f>
        <v>2</v>
      </c>
      <c r="F19" s="11">
        <f>IFERROR(AVERAGEIFS(QueryData!$O:$O,QueryData!$A:$A,$A19,QueryData!$I:$I,$B19,QueryData!$J:$J,$C19),"")</f>
        <v>4790.4699999999993</v>
      </c>
      <c r="G19" s="11">
        <f>SUMIFS(QueryData!$O:$O,QueryData!$A:$A,DataProcessing!$A19,QueryData!$I:$I,DataProcessing!$B19,QueryData!$J:$J,DataProcessing!$C19)</f>
        <v>9580.9399999999987</v>
      </c>
      <c r="S19" s="16"/>
      <c r="T19" s="19" t="str">
        <f>IFERROR(VLOOKUP($S19,QueryData!$C:$F,4,0),"")</f>
        <v/>
      </c>
      <c r="U19" s="17" t="str">
        <f>IFERROR(VLOOKUP($S19,QueryData!$C:$D,2,0),"")</f>
        <v/>
      </c>
      <c r="V19" s="17" t="str">
        <f>IFERROR(VLOOKUP(DataProcessing!$S19,QueryData!$C:$L,10,0),"")</f>
        <v/>
      </c>
      <c r="W19" s="8" t="str">
        <f>IFERROR(VLOOKUP($S19,QueryData!C:N,12,0),"")</f>
        <v/>
      </c>
    </row>
    <row r="20" spans="1:23">
      <c r="D20" s="9"/>
      <c r="E20" s="8"/>
      <c r="F20" s="11"/>
      <c r="G20" s="11"/>
      <c r="L20" t="s">
        <v>33</v>
      </c>
      <c r="N20" t="s">
        <v>31</v>
      </c>
      <c r="O20" t="s">
        <v>59</v>
      </c>
      <c r="S20" s="16"/>
      <c r="T20" s="19" t="str">
        <f>IFERROR(VLOOKUP($S20,QueryData!$C:$F,4,0),"")</f>
        <v/>
      </c>
      <c r="U20" s="17" t="str">
        <f>IFERROR(VLOOKUP($S20,QueryData!$C:$D,2,0),"")</f>
        <v/>
      </c>
      <c r="V20" s="17" t="str">
        <f>IFERROR(VLOOKUP(DataProcessing!$S20,QueryData!$C:$L,10,0),"")</f>
        <v/>
      </c>
      <c r="W20" s="8" t="str">
        <f>IFERROR(VLOOKUP($S20,QueryData!C:N,12,0),"")</f>
        <v/>
      </c>
    </row>
    <row r="21" spans="1:23">
      <c r="D21" s="9"/>
      <c r="E21" s="8"/>
      <c r="F21" s="11"/>
      <c r="G21" s="11"/>
      <c r="I21" t="s">
        <v>0</v>
      </c>
      <c r="J21" s="20" t="s">
        <v>32</v>
      </c>
      <c r="K21" s="19">
        <f>VLOOKUP($I$22,CreditLimitData!$A:$F,5,0)</f>
        <v>38000</v>
      </c>
      <c r="N21" s="13">
        <f>K22/K21</f>
        <v>0.49706157894736841</v>
      </c>
      <c r="O21" s="13">
        <f>K23/$K$21</f>
        <v>0.50293842105263153</v>
      </c>
      <c r="S21" s="16"/>
      <c r="T21" s="19" t="str">
        <f>IFERROR(VLOOKUP($S21,QueryData!$C:$F,4,0),"")</f>
        <v/>
      </c>
      <c r="U21" s="17" t="str">
        <f>IFERROR(VLOOKUP($S21,QueryData!$C:$D,2,0),"")</f>
        <v/>
      </c>
      <c r="V21" s="17" t="str">
        <f>IFERROR(VLOOKUP(DataProcessing!$S21,QueryData!$C:$L,10,0),"")</f>
        <v/>
      </c>
      <c r="W21" s="8" t="str">
        <f>IFERROR(VLOOKUP($S21,QueryData!C:N,12,0),"")</f>
        <v/>
      </c>
    </row>
    <row r="22" spans="1:23">
      <c r="D22" s="9"/>
      <c r="E22" s="8"/>
      <c r="F22" s="11"/>
      <c r="G22" s="11"/>
      <c r="I22" t="str">
        <f>Dashboard!$B$2</f>
        <v>C05</v>
      </c>
      <c r="J22" s="20" t="s">
        <v>31</v>
      </c>
      <c r="K22" s="19">
        <f>VLOOKUP($I$22,CreditLimitData!$A:$F,4,0)</f>
        <v>18888.34</v>
      </c>
      <c r="S22" s="16"/>
      <c r="T22" s="19" t="str">
        <f>IFERROR(VLOOKUP($S22,QueryData!$C:$F,4,0),"")</f>
        <v/>
      </c>
      <c r="U22" s="17" t="str">
        <f>IFERROR(VLOOKUP($S22,QueryData!$C:$D,2,0),"")</f>
        <v/>
      </c>
      <c r="V22" s="17" t="str">
        <f>IFERROR(VLOOKUP(DataProcessing!$S22,QueryData!$C:$L,10,0),"")</f>
        <v/>
      </c>
      <c r="W22" s="8" t="str">
        <f>IFERROR(VLOOKUP($S22,QueryData!C:N,12,0),"")</f>
        <v/>
      </c>
    </row>
    <row r="23" spans="1:23">
      <c r="D23" s="9"/>
      <c r="E23" s="8"/>
      <c r="F23" s="11"/>
      <c r="G23" s="11"/>
      <c r="J23" s="20" t="s">
        <v>59</v>
      </c>
      <c r="K23" s="19">
        <f>K21-K22</f>
        <v>19111.66</v>
      </c>
      <c r="S23" s="16"/>
      <c r="T23" s="19" t="str">
        <f>IFERROR(VLOOKUP($S23,QueryData!$C:$F,4,0),"")</f>
        <v/>
      </c>
      <c r="U23" s="17" t="str">
        <f>IFERROR(VLOOKUP($S23,QueryData!$C:$D,2,0),"")</f>
        <v/>
      </c>
      <c r="V23" s="17" t="str">
        <f>IFERROR(VLOOKUP(DataProcessing!$S23,QueryData!$C:$L,10,0),"")</f>
        <v/>
      </c>
      <c r="W23" s="8" t="str">
        <f>IFERROR(VLOOKUP($S23,QueryData!C:N,12,0),"")</f>
        <v/>
      </c>
    </row>
    <row r="24" spans="1:23">
      <c r="D24" s="9"/>
      <c r="E24" s="8"/>
      <c r="F24" s="11"/>
      <c r="G24" s="11"/>
      <c r="J24" s="20"/>
      <c r="S24" s="18"/>
      <c r="T24" s="19" t="str">
        <f>IFERROR(VLOOKUP($S24,QueryData!$C:$F,4,0),"")</f>
        <v/>
      </c>
      <c r="U24" s="17" t="str">
        <f>IFERROR(VLOOKUP($S24,QueryData!$C:$D,2,0),"")</f>
        <v/>
      </c>
      <c r="V24" s="17" t="str">
        <f>IFERROR(VLOOKUP(DataProcessing!$S24,QueryData!$C:$L,10,0),"")</f>
        <v/>
      </c>
      <c r="W24" s="8" t="str">
        <f>IFERROR(VLOOKUP($S24,QueryData!C:N,12,0),"")</f>
        <v/>
      </c>
    </row>
    <row r="25" spans="1:23">
      <c r="D25" s="9"/>
      <c r="E25" s="8"/>
      <c r="F25" s="11"/>
      <c r="G25" s="11"/>
      <c r="J25" s="20" t="s">
        <v>34</v>
      </c>
      <c r="K25" s="19" t="str">
        <f>IFERROR(IF(N21&gt;0.66,"BAD",IF(N21&gt;0.33,"OKAY","GOOD")),"")</f>
        <v>OKAY</v>
      </c>
      <c r="S25" s="18"/>
      <c r="T25" s="19" t="str">
        <f>IFERROR(VLOOKUP($S25,QueryData!$C:$F,4,0),"")</f>
        <v/>
      </c>
      <c r="U25" s="17" t="str">
        <f>IFERROR(VLOOKUP($S25,QueryData!$C:$D,2,0),"")</f>
        <v/>
      </c>
      <c r="V25" s="17" t="str">
        <f>IFERROR(VLOOKUP(DataProcessing!$S25,QueryData!$C:$L,10,0),"")</f>
        <v/>
      </c>
      <c r="W25" s="8" t="str">
        <f>IFERROR(VLOOKUP($S25,QueryData!C:N,12,0),"")</f>
        <v/>
      </c>
    </row>
    <row r="26" spans="1:23">
      <c r="D26" s="9"/>
      <c r="E26" s="8"/>
      <c r="F26" s="11"/>
      <c r="G26" s="11"/>
      <c r="S26" s="18"/>
      <c r="T26" s="19" t="str">
        <f>IFERROR(VLOOKUP($S26,QueryData!$C:$F,4,0),"")</f>
        <v/>
      </c>
      <c r="U26" s="17" t="str">
        <f>IFERROR(VLOOKUP($S26,QueryData!$C:$D,2,0),"")</f>
        <v/>
      </c>
      <c r="V26" s="17" t="str">
        <f>IFERROR(VLOOKUP(DataProcessing!$S26,QueryData!$C:$L,10,0),"")</f>
        <v/>
      </c>
      <c r="W26" s="8" t="str">
        <f>IFERROR(VLOOKUP($S26,QueryData!C:N,12,0),"")</f>
        <v/>
      </c>
    </row>
    <row r="27" spans="1:23">
      <c r="D27" s="9"/>
      <c r="E27" s="8"/>
      <c r="F27" s="11"/>
      <c r="G27" s="11"/>
      <c r="S27" s="18"/>
      <c r="T27" s="19" t="str">
        <f>IFERROR(VLOOKUP($S27,QueryData!$C:$F,4,0),"")</f>
        <v/>
      </c>
      <c r="U27" s="17" t="str">
        <f>IFERROR(VLOOKUP($S27,QueryData!$C:$D,2,0),"")</f>
        <v/>
      </c>
      <c r="V27" s="17" t="str">
        <f>IFERROR(VLOOKUP(DataProcessing!$S27,QueryData!$C:$L,10,0),"")</f>
        <v/>
      </c>
      <c r="W27" s="8" t="str">
        <f>IFERROR(VLOOKUP($S27,QueryData!C:N,12,0),"")</f>
        <v/>
      </c>
    </row>
    <row r="28" spans="1:23">
      <c r="D28" s="9"/>
      <c r="E28" s="8"/>
      <c r="F28" s="11"/>
      <c r="G28" s="11"/>
      <c r="J28" t="s">
        <v>52</v>
      </c>
      <c r="K28" t="s">
        <v>54</v>
      </c>
      <c r="L28" t="s">
        <v>53</v>
      </c>
      <c r="M28" t="s">
        <v>55</v>
      </c>
      <c r="S28" s="18"/>
      <c r="T28" s="19" t="str">
        <f>IFERROR(VLOOKUP($S28,QueryData!$C:$F,4,0),"")</f>
        <v/>
      </c>
      <c r="U28" s="17" t="str">
        <f>IFERROR(VLOOKUP($S28,QueryData!$C:$D,2,0),"")</f>
        <v/>
      </c>
      <c r="V28" s="17" t="str">
        <f>IFERROR(VLOOKUP(DataProcessing!$S28,QueryData!$C:$L,10,0),"")</f>
        <v/>
      </c>
      <c r="W28" s="8" t="str">
        <f>IFERROR(VLOOKUP($S28,QueryData!C:N,12,0),"")</f>
        <v/>
      </c>
    </row>
    <row r="29" spans="1:23">
      <c r="D29" s="9"/>
      <c r="E29" s="8"/>
      <c r="F29" s="11"/>
      <c r="G29" s="11"/>
      <c r="I29" s="21">
        <v>45444</v>
      </c>
      <c r="J29" s="23">
        <f>G7</f>
        <v>20428.55</v>
      </c>
      <c r="K29" s="23">
        <f t="shared" ref="K29:K41" si="0">G20</f>
        <v>0</v>
      </c>
      <c r="L29" s="23">
        <f t="shared" ref="L29:L41" si="1">F7</f>
        <v>4085.71</v>
      </c>
      <c r="M29" s="23">
        <f t="shared" ref="M29:M41" si="2">F20</f>
        <v>0</v>
      </c>
      <c r="S29" s="18"/>
      <c r="T29" s="19" t="str">
        <f>IFERROR(VLOOKUP($S29,QueryData!$C:$F,4,0),"")</f>
        <v/>
      </c>
      <c r="U29" s="17" t="str">
        <f>IFERROR(VLOOKUP($S29,QueryData!$C:$D,2,0),"")</f>
        <v/>
      </c>
      <c r="V29" s="17" t="str">
        <f>IFERROR(VLOOKUP(DataProcessing!$S29,QueryData!$C:$L,10,0),"")</f>
        <v/>
      </c>
      <c r="W29" s="8" t="str">
        <f>IFERROR(VLOOKUP($S29,QueryData!C:N,12,0),"")</f>
        <v/>
      </c>
    </row>
    <row r="30" spans="1:23">
      <c r="D30" s="9"/>
      <c r="E30" s="8"/>
      <c r="F30" s="11"/>
      <c r="G30" s="11"/>
      <c r="I30" s="21">
        <v>45474</v>
      </c>
      <c r="J30" s="23">
        <f t="shared" ref="J30:J41" si="3">G8</f>
        <v>28815.3</v>
      </c>
      <c r="K30" s="23">
        <f t="shared" si="0"/>
        <v>0</v>
      </c>
      <c r="L30" s="23">
        <f t="shared" si="1"/>
        <v>4802.55</v>
      </c>
      <c r="M30" s="23">
        <f t="shared" si="2"/>
        <v>0</v>
      </c>
      <c r="S30" s="18"/>
      <c r="T30" s="19" t="str">
        <f>IFERROR(VLOOKUP($S30,QueryData!$C:$F,4,0),"")</f>
        <v/>
      </c>
      <c r="U30" s="17" t="str">
        <f>IFERROR(VLOOKUP($S30,QueryData!$C:$D,2,0),"")</f>
        <v/>
      </c>
      <c r="V30" s="17" t="str">
        <f>IFERROR(VLOOKUP(DataProcessing!$S30,QueryData!$C:$L,10,0),"")</f>
        <v/>
      </c>
      <c r="W30" s="8" t="str">
        <f>IFERROR(VLOOKUP($S30,QueryData!C:N,12,0),"")</f>
        <v/>
      </c>
    </row>
    <row r="31" spans="1:23">
      <c r="D31" s="9"/>
      <c r="E31" s="8"/>
      <c r="F31" s="11"/>
      <c r="G31" s="11"/>
      <c r="I31" s="21">
        <v>45505</v>
      </c>
      <c r="J31" s="23">
        <f t="shared" si="3"/>
        <v>13855.4</v>
      </c>
      <c r="K31" s="23">
        <f t="shared" si="0"/>
        <v>0</v>
      </c>
      <c r="L31" s="23">
        <f t="shared" si="1"/>
        <v>2309.2333333333331</v>
      </c>
      <c r="M31" s="23">
        <f t="shared" si="2"/>
        <v>0</v>
      </c>
      <c r="S31" s="18"/>
      <c r="T31" s="19" t="str">
        <f>IFERROR(VLOOKUP($S31,QueryData!$C:$F,4,0),"")</f>
        <v/>
      </c>
      <c r="U31" s="17" t="str">
        <f>IFERROR(VLOOKUP($S31,QueryData!$C:$D,2,0),"")</f>
        <v/>
      </c>
      <c r="V31" s="17" t="str">
        <f>IFERROR(VLOOKUP(DataProcessing!$S31,QueryData!$C:$L,10,0),"")</f>
        <v/>
      </c>
      <c r="W31" s="8" t="str">
        <f>IFERROR(VLOOKUP($S31,QueryData!C:N,12,0),"")</f>
        <v/>
      </c>
    </row>
    <row r="32" spans="1:23">
      <c r="D32" s="9"/>
      <c r="E32" s="8"/>
      <c r="F32" s="11"/>
      <c r="G32" s="11"/>
      <c r="I32" s="21">
        <v>45536</v>
      </c>
      <c r="J32" s="23">
        <f t="shared" si="3"/>
        <v>14658.9</v>
      </c>
      <c r="K32" s="23">
        <f t="shared" si="0"/>
        <v>0</v>
      </c>
      <c r="L32" s="23">
        <f t="shared" si="1"/>
        <v>3664.7249999999999</v>
      </c>
      <c r="M32" s="23">
        <f t="shared" si="2"/>
        <v>0</v>
      </c>
      <c r="S32" s="18"/>
      <c r="T32" s="19" t="str">
        <f>IFERROR(VLOOKUP($S32,QueryData!$C:$F,4,0),"")</f>
        <v/>
      </c>
      <c r="U32" s="17" t="str">
        <f>IFERROR(VLOOKUP($S32,QueryData!$C:$D,2,0),"")</f>
        <v/>
      </c>
      <c r="V32" s="17" t="str">
        <f>IFERROR(VLOOKUP(DataProcessing!$S32,QueryData!$C:$L,10,0),"")</f>
        <v/>
      </c>
      <c r="W32" s="8" t="str">
        <f>IFERROR(VLOOKUP($S32,QueryData!C:N,12,0),"")</f>
        <v/>
      </c>
    </row>
    <row r="33" spans="9:23">
      <c r="I33" s="21">
        <v>45566</v>
      </c>
      <c r="J33" s="23">
        <f t="shared" si="3"/>
        <v>18574.5</v>
      </c>
      <c r="K33" s="23">
        <f t="shared" si="0"/>
        <v>0</v>
      </c>
      <c r="L33" s="23">
        <f t="shared" si="1"/>
        <v>4643.625</v>
      </c>
      <c r="M33" s="23">
        <f t="shared" si="2"/>
        <v>0</v>
      </c>
      <c r="S33" s="18"/>
      <c r="T33" s="19" t="str">
        <f>IFERROR(VLOOKUP($S33,QueryData!$C:$F,4,0),"")</f>
        <v/>
      </c>
      <c r="U33" s="17" t="str">
        <f>IFERROR(VLOOKUP($S33,QueryData!$C:$D,2,0),"")</f>
        <v/>
      </c>
      <c r="V33" s="17" t="str">
        <f>IFERROR(VLOOKUP(DataProcessing!$S33,QueryData!$C:$L,10,0),"")</f>
        <v/>
      </c>
      <c r="W33" s="8" t="str">
        <f>IFERROR(VLOOKUP($S33,QueryData!C:N,12,0),"")</f>
        <v/>
      </c>
    </row>
    <row r="34" spans="9:23">
      <c r="I34" s="21">
        <v>45597</v>
      </c>
      <c r="J34" s="23">
        <f t="shared" si="3"/>
        <v>15672.529999999999</v>
      </c>
      <c r="K34" s="23">
        <f t="shared" si="0"/>
        <v>0</v>
      </c>
      <c r="L34" s="23">
        <f t="shared" si="1"/>
        <v>3918.1324999999997</v>
      </c>
      <c r="M34" s="23">
        <f t="shared" si="2"/>
        <v>0</v>
      </c>
      <c r="S34" s="18"/>
      <c r="T34" s="19" t="str">
        <f>IFERROR(VLOOKUP($S34,QueryData!$C:$F,4,0),"")</f>
        <v/>
      </c>
      <c r="U34" s="17" t="str">
        <f>IFERROR(VLOOKUP($S34,QueryData!$C:$D,2,0),"")</f>
        <v/>
      </c>
      <c r="V34" s="17" t="str">
        <f>IFERROR(VLOOKUP(DataProcessing!$S34,QueryData!$C:$L,10,0),"")</f>
        <v/>
      </c>
      <c r="W34" s="8" t="str">
        <f>IFERROR(VLOOKUP($S34,QueryData!C:N,12,0),"")</f>
        <v/>
      </c>
    </row>
    <row r="35" spans="9:23">
      <c r="I35" s="21">
        <v>45627</v>
      </c>
      <c r="J35" s="23">
        <f t="shared" si="3"/>
        <v>18405.04</v>
      </c>
      <c r="K35" s="23">
        <f t="shared" si="0"/>
        <v>0</v>
      </c>
      <c r="L35" s="23">
        <f t="shared" si="1"/>
        <v>3681.0080000000003</v>
      </c>
      <c r="M35" s="23">
        <f t="shared" si="2"/>
        <v>0</v>
      </c>
      <c r="S35" s="18"/>
      <c r="T35" s="19" t="str">
        <f>IFERROR(VLOOKUP($S35,QueryData!$C:$F,4,0),"")</f>
        <v/>
      </c>
      <c r="U35" s="17" t="str">
        <f>IFERROR(VLOOKUP($S35,QueryData!$C:$D,2,0),"")</f>
        <v/>
      </c>
      <c r="V35" s="17" t="str">
        <f>IFERROR(VLOOKUP(DataProcessing!$S35,QueryData!$C:$L,10,0),"")</f>
        <v/>
      </c>
      <c r="W35" s="8" t="str">
        <f>IFERROR(VLOOKUP($S35,QueryData!C:N,12,0),"")</f>
        <v/>
      </c>
    </row>
    <row r="36" spans="9:23">
      <c r="I36" s="21">
        <v>45658</v>
      </c>
      <c r="J36" s="23">
        <f t="shared" si="3"/>
        <v>18663.100000000002</v>
      </c>
      <c r="K36" s="23">
        <f t="shared" si="0"/>
        <v>0</v>
      </c>
      <c r="L36" s="23">
        <f t="shared" si="1"/>
        <v>3110.5166666666669</v>
      </c>
      <c r="M36" s="23">
        <f t="shared" si="2"/>
        <v>0</v>
      </c>
      <c r="S36" s="18"/>
      <c r="T36" s="19" t="str">
        <f>IFERROR(VLOOKUP($S36,QueryData!$C:$F,4,0),"")</f>
        <v/>
      </c>
      <c r="U36" s="17" t="str">
        <f>IFERROR(VLOOKUP($S36,QueryData!$C:$D,2,0),"")</f>
        <v/>
      </c>
      <c r="V36" s="17" t="str">
        <f>IFERROR(VLOOKUP(DataProcessing!$S36,QueryData!$C:$L,10,0),"")</f>
        <v/>
      </c>
      <c r="W36" s="8" t="str">
        <f>IFERROR(VLOOKUP($S36,QueryData!C:N,12,0),"")</f>
        <v/>
      </c>
    </row>
    <row r="37" spans="9:23">
      <c r="I37" s="21">
        <v>45689</v>
      </c>
      <c r="J37" s="23">
        <f t="shared" si="3"/>
        <v>14139.95</v>
      </c>
      <c r="K37" s="23">
        <f t="shared" si="0"/>
        <v>0</v>
      </c>
      <c r="L37" s="23">
        <f t="shared" si="1"/>
        <v>2827.9900000000002</v>
      </c>
      <c r="M37" s="23">
        <f t="shared" si="2"/>
        <v>0</v>
      </c>
      <c r="S37" s="18"/>
      <c r="T37" s="19" t="str">
        <f>IFERROR(VLOOKUP($S37,QueryData!$C:$F,4,0),"")</f>
        <v/>
      </c>
      <c r="U37" s="17" t="str">
        <f>IFERROR(VLOOKUP($S37,QueryData!$C:$D,2,0),"")</f>
        <v/>
      </c>
      <c r="V37" s="17" t="str">
        <f>IFERROR(VLOOKUP(DataProcessing!$S37,QueryData!$C:$L,10,0),"")</f>
        <v/>
      </c>
      <c r="W37" s="8" t="str">
        <f>IFERROR(VLOOKUP($S37,QueryData!C:N,12,0),"")</f>
        <v/>
      </c>
    </row>
    <row r="38" spans="9:23">
      <c r="I38" s="21">
        <v>45717</v>
      </c>
      <c r="J38" s="23">
        <f t="shared" si="3"/>
        <v>16442.419999999998</v>
      </c>
      <c r="K38" s="23">
        <f t="shared" si="0"/>
        <v>0</v>
      </c>
      <c r="L38" s="23">
        <f t="shared" si="1"/>
        <v>2055.3024999999998</v>
      </c>
      <c r="M38" s="23">
        <f t="shared" si="2"/>
        <v>0</v>
      </c>
      <c r="S38" s="18"/>
      <c r="T38" s="19" t="str">
        <f>IFERROR(VLOOKUP($S38,QueryData!$C:$F,4,0),"")</f>
        <v/>
      </c>
      <c r="U38" s="17" t="str">
        <f>IFERROR(VLOOKUP($S38,QueryData!$C:$D,2,0),"")</f>
        <v/>
      </c>
      <c r="V38" s="17" t="str">
        <f>IFERROR(VLOOKUP(DataProcessing!$S38,QueryData!$C:$L,10,0),"")</f>
        <v/>
      </c>
      <c r="W38" s="8" t="str">
        <f>IFERROR(VLOOKUP($S38,QueryData!C:N,12,0),"")</f>
        <v/>
      </c>
    </row>
    <row r="39" spans="9:23">
      <c r="I39" s="21">
        <v>45748</v>
      </c>
      <c r="J39" s="23">
        <f t="shared" si="3"/>
        <v>17865.400000000001</v>
      </c>
      <c r="K39" s="23">
        <f t="shared" si="0"/>
        <v>0</v>
      </c>
      <c r="L39" s="23">
        <f t="shared" si="1"/>
        <v>2977.5666666666671</v>
      </c>
      <c r="M39" s="23">
        <f t="shared" si="2"/>
        <v>0</v>
      </c>
      <c r="S39" s="18"/>
      <c r="T39" s="19" t="str">
        <f>IFERROR(VLOOKUP($S39,QueryData!$C:$F,4,0),"")</f>
        <v/>
      </c>
      <c r="U39" s="17" t="str">
        <f>IFERROR(VLOOKUP($S39,QueryData!$C:$D,2,0),"")</f>
        <v/>
      </c>
      <c r="V39" s="17" t="str">
        <f>IFERROR(VLOOKUP(DataProcessing!$S39,QueryData!$C:$L,10,0),"")</f>
        <v/>
      </c>
      <c r="W39" s="8" t="str">
        <f>IFERROR(VLOOKUP($S39,QueryData!C:N,12,0),"")</f>
        <v/>
      </c>
    </row>
    <row r="40" spans="9:23">
      <c r="I40" s="21">
        <v>45778</v>
      </c>
      <c r="J40" s="23">
        <f t="shared" si="3"/>
        <v>17957.2</v>
      </c>
      <c r="K40" s="23">
        <f t="shared" si="0"/>
        <v>0</v>
      </c>
      <c r="L40" s="23">
        <f t="shared" si="1"/>
        <v>5985.7333333333336</v>
      </c>
      <c r="M40" s="23">
        <f t="shared" si="2"/>
        <v>0</v>
      </c>
      <c r="S40" s="18"/>
      <c r="T40" s="19" t="str">
        <f>IFERROR(VLOOKUP($S40,QueryData!$C:$F,4,0),"")</f>
        <v/>
      </c>
      <c r="U40" s="17" t="str">
        <f>IFERROR(VLOOKUP($S40,QueryData!$C:$D,2,0),"")</f>
        <v/>
      </c>
      <c r="V40" s="17" t="str">
        <f>IFERROR(VLOOKUP(DataProcessing!$S40,QueryData!$C:$L,10,0),"")</f>
        <v/>
      </c>
      <c r="W40" s="8" t="str">
        <f>IFERROR(VLOOKUP($S40,QueryData!C:N,12,0),"")</f>
        <v/>
      </c>
    </row>
    <row r="41" spans="9:23">
      <c r="I41" s="21">
        <v>45809</v>
      </c>
      <c r="J41" s="23">
        <f t="shared" si="3"/>
        <v>9580.9399999999987</v>
      </c>
      <c r="K41" s="23">
        <f t="shared" si="0"/>
        <v>0</v>
      </c>
      <c r="L41" s="23">
        <f t="shared" si="1"/>
        <v>4790.4699999999993</v>
      </c>
      <c r="M41" s="23">
        <f t="shared" si="2"/>
        <v>0</v>
      </c>
      <c r="S41" s="18"/>
      <c r="T41" s="19" t="str">
        <f>IFERROR(VLOOKUP($S41,QueryData!$C:$F,4,0),"")</f>
        <v/>
      </c>
      <c r="U41" s="17" t="str">
        <f>IFERROR(VLOOKUP($S41,QueryData!$C:$D,2,0),"")</f>
        <v/>
      </c>
      <c r="V41" s="17" t="str">
        <f>IFERROR(VLOOKUP(DataProcessing!$S41,QueryData!$C:$L,10,0),"")</f>
        <v/>
      </c>
      <c r="W41" s="8" t="str">
        <f>IFERROR(VLOOKUP($S41,QueryData!C:N,12,0),"")</f>
        <v/>
      </c>
    </row>
    <row r="42" spans="9:23">
      <c r="I42" s="21"/>
      <c r="S42" s="15"/>
      <c r="T42" s="74" t="str">
        <f>IFERROR(VLOOKUP($S42,QueryData!$C:$F,4,0),"")</f>
        <v/>
      </c>
      <c r="V42" s="1" t="str">
        <f>IFERROR(VLOOKUP(DataProcessing!$S42,QueryData!$C:$L,10,0),"")</f>
        <v/>
      </c>
      <c r="W42" t="str">
        <f>IFERROR(VLOOKUP($S42,QueryData!C:N,12,0),"")</f>
        <v/>
      </c>
    </row>
    <row r="43" spans="9:23">
      <c r="I43" s="21"/>
      <c r="S43" s="15"/>
      <c r="T43" s="74" t="str">
        <f>IFERROR(VLOOKUP($S43,QueryData!$C:$F,4,0),"")</f>
        <v/>
      </c>
      <c r="V43" s="1" t="str">
        <f>IFERROR(VLOOKUP(DataProcessing!$S43,QueryData!$C:$L,10,0),"")</f>
        <v/>
      </c>
      <c r="W43" t="str">
        <f>IFERROR(VLOOKUP($S43,QueryData!C:N,12,0),"")</f>
        <v/>
      </c>
    </row>
    <row r="44" spans="9:23">
      <c r="I44" s="21"/>
      <c r="S44" s="15"/>
      <c r="T44" s="74" t="str">
        <f>IFERROR(VLOOKUP($S44,QueryData!$C:$F,4,0),"")</f>
        <v/>
      </c>
      <c r="V44" s="1" t="str">
        <f>IFERROR(VLOOKUP(DataProcessing!$S44,QueryData!$C:$L,10,0),"")</f>
        <v/>
      </c>
      <c r="W44" t="str">
        <f>IFERROR(VLOOKUP($S44,QueryData!C:N,12,0),"")</f>
        <v/>
      </c>
    </row>
    <row r="45" spans="9:23">
      <c r="I45" s="21"/>
      <c r="S45" s="15"/>
      <c r="T45" s="74" t="str">
        <f>IFERROR(VLOOKUP($S45,QueryData!$C:$F,4,0),"")</f>
        <v/>
      </c>
      <c r="V45" s="1" t="str">
        <f>IFERROR(VLOOKUP(DataProcessing!$S45,QueryData!$C:$L,10,0),"")</f>
        <v/>
      </c>
      <c r="W45" t="str">
        <f>IFERROR(VLOOKUP($S45,QueryData!C:N,12,0),"")</f>
        <v/>
      </c>
    </row>
    <row r="46" spans="9:23">
      <c r="I46" s="21"/>
      <c r="S46" s="15"/>
      <c r="T46" s="74" t="str">
        <f>IFERROR(VLOOKUP($S46,QueryData!$C:$F,4,0),"")</f>
        <v/>
      </c>
      <c r="V46" s="1" t="str">
        <f>IFERROR(VLOOKUP(DataProcessing!$S46,QueryData!$C:$L,10,0),"")</f>
        <v/>
      </c>
      <c r="W46" t="str">
        <f>IFERROR(VLOOKUP($S46,QueryData!C:N,12,0),"")</f>
        <v/>
      </c>
    </row>
    <row r="47" spans="9:23">
      <c r="I47" s="21"/>
      <c r="S47" s="15"/>
      <c r="T47" s="74" t="str">
        <f>IFERROR(VLOOKUP($S47,QueryData!$C:$F,4,0),"")</f>
        <v/>
      </c>
      <c r="V47" s="1" t="str">
        <f>IFERROR(VLOOKUP(DataProcessing!$S47,QueryData!$C:$L,10,0),"")</f>
        <v/>
      </c>
      <c r="W47" t="str">
        <f>IFERROR(VLOOKUP($S47,QueryData!C:N,12,0),"")</f>
        <v/>
      </c>
    </row>
    <row r="48" spans="9:23">
      <c r="I48" s="21"/>
      <c r="S48" s="15"/>
      <c r="T48" s="74" t="str">
        <f>IFERROR(VLOOKUP($S48,QueryData!$C:$F,4,0),"")</f>
        <v/>
      </c>
      <c r="V48" s="1" t="str">
        <f>IFERROR(VLOOKUP(DataProcessing!$S48,QueryData!$C:$L,10,0),"")</f>
        <v/>
      </c>
      <c r="W48" t="str">
        <f>IFERROR(VLOOKUP($S48,QueryData!C:N,12,0),"")</f>
        <v/>
      </c>
    </row>
    <row r="49" spans="9:23">
      <c r="I49" s="21"/>
      <c r="S49" s="15"/>
      <c r="T49" s="74" t="str">
        <f>IFERROR(VLOOKUP($S49,QueryData!$C:$F,4,0),"")</f>
        <v/>
      </c>
      <c r="V49" s="1" t="str">
        <f>IFERROR(VLOOKUP(DataProcessing!$S49,QueryData!$C:$L,10,0),"")</f>
        <v/>
      </c>
      <c r="W49" t="str">
        <f>IFERROR(VLOOKUP($S49,QueryData!C:N,12,0),"")</f>
        <v/>
      </c>
    </row>
    <row r="50" spans="9:23">
      <c r="I50" s="21"/>
      <c r="T50" s="74" t="str">
        <f>IFERROR(VLOOKUP($S50,QueryData!$C:$F,4,0),"")</f>
        <v/>
      </c>
      <c r="V50" s="1" t="str">
        <f>IFERROR(VLOOKUP(DataProcessing!$S50,QueryData!$C:$L,10,0),"")</f>
        <v/>
      </c>
      <c r="W50" t="str">
        <f>IFERROR(VLOOKUP($S50,QueryData!C:N,12,0),"")</f>
        <v/>
      </c>
    </row>
    <row r="51" spans="9:23">
      <c r="I51" s="21"/>
      <c r="T51" s="74" t="str">
        <f>IFERROR(VLOOKUP($S51,QueryData!$C:$F,4,0),"")</f>
        <v/>
      </c>
      <c r="V51" s="1" t="str">
        <f>IFERROR(VLOOKUP(DataProcessing!$S51,QueryData!$C:$L,10,0),"")</f>
        <v/>
      </c>
      <c r="W51" t="str">
        <f>IFERROR(VLOOKUP($S51,QueryData!C:N,12,0),"")</f>
        <v/>
      </c>
    </row>
    <row r="52" spans="9:23">
      <c r="I52" s="21"/>
      <c r="T52" s="74" t="str">
        <f>IFERROR(VLOOKUP($S52,QueryData!$C:$F,4,0),"")</f>
        <v/>
      </c>
      <c r="V52" s="1" t="str">
        <f>IFERROR(VLOOKUP(DataProcessing!$S52,QueryData!$C:$L,10,0),"")</f>
        <v/>
      </c>
      <c r="W52" t="str">
        <f>IFERROR(VLOOKUP($S52,QueryData!C:N,12,0),"")</f>
        <v/>
      </c>
    </row>
    <row r="53" spans="9:23">
      <c r="I53" s="21"/>
      <c r="T53" s="74" t="str">
        <f>IFERROR(VLOOKUP($S53,QueryData!$C:$F,4,0),"")</f>
        <v/>
      </c>
      <c r="V53" s="1" t="str">
        <f>IFERROR(VLOOKUP(DataProcessing!$S53,QueryData!$C:$L,10,0),"")</f>
        <v/>
      </c>
      <c r="W53" t="str">
        <f>IFERROR(VLOOKUP($S53,QueryData!C:N,12,0),"")</f>
        <v/>
      </c>
    </row>
    <row r="54" spans="9:23">
      <c r="I54" s="21"/>
      <c r="T54" s="74" t="str">
        <f>IFERROR(VLOOKUP($S54,QueryData!$C:$F,4,0),"")</f>
        <v/>
      </c>
      <c r="V54" s="1" t="str">
        <f>IFERROR(VLOOKUP(DataProcessing!$S54,QueryData!$C:$L,10,0),"")</f>
        <v/>
      </c>
      <c r="W54" t="str">
        <f>IFERROR(VLOOKUP($S54,QueryData!C:N,12,0),"")</f>
        <v/>
      </c>
    </row>
    <row r="55" spans="9:23">
      <c r="T55" s="74" t="str">
        <f>IFERROR(VLOOKUP($S55,QueryData!$C:$F,4,0),"")</f>
        <v/>
      </c>
      <c r="V55" s="1" t="str">
        <f>IFERROR(VLOOKUP(DataProcessing!$S55,QueryData!$C:$L,10,0),"")</f>
        <v/>
      </c>
      <c r="W55" t="str">
        <f>IFERROR(VLOOKUP($S55,QueryData!C:N,12,0),"")</f>
        <v/>
      </c>
    </row>
    <row r="56" spans="9:23">
      <c r="T56" s="74" t="str">
        <f>IFERROR(VLOOKUP($S56,QueryData!$C:$F,4,0),"")</f>
        <v/>
      </c>
      <c r="V56" s="1" t="str">
        <f>IFERROR(VLOOKUP(DataProcessing!$S56,QueryData!$C:$L,10,0),"")</f>
        <v/>
      </c>
      <c r="W56" t="str">
        <f>IFERROR(VLOOKUP($S56,QueryData!C:N,12,0),"")</f>
        <v/>
      </c>
    </row>
    <row r="57" spans="9:23">
      <c r="T57" s="74" t="str">
        <f>IFERROR(VLOOKUP($S57,QueryData!$C:$F,4,0),"")</f>
        <v/>
      </c>
      <c r="V57" s="1" t="str">
        <f>IFERROR(VLOOKUP(DataProcessing!$S57,QueryData!$C:$L,10,0),"")</f>
        <v/>
      </c>
      <c r="W57" t="str">
        <f>IFERROR(VLOOKUP($S57,QueryData!C:N,12,0),"")</f>
        <v/>
      </c>
    </row>
    <row r="58" spans="9:23">
      <c r="T58" s="74" t="str">
        <f>IFERROR(VLOOKUP($S58,QueryData!$C:$F,4,0),"")</f>
        <v/>
      </c>
      <c r="V58" s="1" t="str">
        <f>IFERROR(VLOOKUP(DataProcessing!$S58,QueryData!$C:$L,10,0),"")</f>
        <v/>
      </c>
      <c r="W58" t="str">
        <f>IFERROR(VLOOKUP($S58,QueryData!C:N,12,0),"")</f>
        <v/>
      </c>
    </row>
    <row r="59" spans="9:23">
      <c r="T59" s="74" t="str">
        <f>IFERROR(VLOOKUP($S59,QueryData!$C:$F,4,0),"")</f>
        <v/>
      </c>
      <c r="V59" s="1" t="str">
        <f>IFERROR(VLOOKUP(DataProcessing!$S59,QueryData!$C:$L,10,0),"")</f>
        <v/>
      </c>
      <c r="W59" t="str">
        <f>IFERROR(VLOOKUP($S59,QueryData!C:N,12,0),"")</f>
        <v/>
      </c>
    </row>
    <row r="60" spans="9:23">
      <c r="T60" s="74" t="str">
        <f>IFERROR(VLOOKUP($S60,QueryData!$C:$F,4,0),"")</f>
        <v/>
      </c>
      <c r="V60" s="1" t="str">
        <f>IFERROR(VLOOKUP(DataProcessing!$S60,QueryData!$C:$L,10,0),"")</f>
        <v/>
      </c>
      <c r="W60" t="str">
        <f>IFERROR(VLOOKUP($S60,QueryData!C:N,12,0),"")</f>
        <v/>
      </c>
    </row>
    <row r="61" spans="9:23">
      <c r="T61" s="74" t="str">
        <f>IFERROR(VLOOKUP($S61,QueryData!$C:$F,4,0),"")</f>
        <v/>
      </c>
      <c r="V61" s="1" t="str">
        <f>IFERROR(VLOOKUP(DataProcessing!$S61,QueryData!$C:$L,10,0),"")</f>
        <v/>
      </c>
      <c r="W61" t="str">
        <f>IFERROR(VLOOKUP($S61,QueryData!C:N,12,0),"")</f>
        <v/>
      </c>
    </row>
    <row r="62" spans="9:23">
      <c r="T62" s="74" t="str">
        <f>IFERROR(VLOOKUP($S62,QueryData!$C:$F,4,0),"")</f>
        <v/>
      </c>
      <c r="V62" s="1" t="str">
        <f>IFERROR(VLOOKUP(DataProcessing!$S62,QueryData!$C:$L,10,0),"")</f>
        <v/>
      </c>
      <c r="W62" t="str">
        <f>IFERROR(VLOOKUP($S62,QueryData!C:N,12,0),"")</f>
        <v/>
      </c>
    </row>
    <row r="63" spans="9:23">
      <c r="T63" s="74" t="str">
        <f>IFERROR(VLOOKUP($S63,QueryData!$C:$F,4,0),"")</f>
        <v/>
      </c>
      <c r="V63" s="1" t="str">
        <f>IFERROR(VLOOKUP(DataProcessing!$S63,QueryData!$C:$L,10,0),"")</f>
        <v/>
      </c>
      <c r="W63" t="str">
        <f>IFERROR(VLOOKUP($S63,QueryData!C:N,12,0),"")</f>
        <v/>
      </c>
    </row>
    <row r="64" spans="9:23">
      <c r="T64" s="74" t="str">
        <f>IFERROR(VLOOKUP($S64,QueryData!$C:$F,4,0),"")</f>
        <v/>
      </c>
      <c r="V64" s="1" t="str">
        <f>IFERROR(VLOOKUP(DataProcessing!$S64,QueryData!$C:$L,10,0),"")</f>
        <v/>
      </c>
      <c r="W64" t="str">
        <f>IFERROR(VLOOKUP($S64,QueryData!C:N,12,0),"")</f>
        <v/>
      </c>
    </row>
    <row r="65" spans="20:23">
      <c r="T65" s="74" t="str">
        <f>IFERROR(VLOOKUP($S65,QueryData!$C:$F,4,0),"")</f>
        <v/>
      </c>
      <c r="V65" s="1" t="str">
        <f>IFERROR(VLOOKUP(DataProcessing!$S65,QueryData!$C:$L,10,0),"")</f>
        <v/>
      </c>
      <c r="W65" t="str">
        <f>IFERROR(VLOOKUP($S65,QueryData!C:N,12,0),"")</f>
        <v/>
      </c>
    </row>
    <row r="66" spans="20:23">
      <c r="T66" s="74" t="str">
        <f>IFERROR(VLOOKUP($S66,QueryData!$C:$F,4,0),"")</f>
        <v/>
      </c>
      <c r="V66" s="1" t="str">
        <f>IFERROR(VLOOKUP(DataProcessing!$S66,QueryData!$C:$L,10,0),"")</f>
        <v/>
      </c>
      <c r="W66" t="str">
        <f>IFERROR(VLOOKUP($S66,QueryData!C:N,12,0),"")</f>
        <v/>
      </c>
    </row>
    <row r="67" spans="20:23">
      <c r="T67" s="74" t="str">
        <f>IFERROR(VLOOKUP($S67,QueryData!$C:$F,4,0),"")</f>
        <v/>
      </c>
      <c r="V67" s="1" t="str">
        <f>IFERROR(VLOOKUP(DataProcessing!$S67,QueryData!$C:$L,10,0),"")</f>
        <v/>
      </c>
      <c r="W67" t="str">
        <f>IFERROR(VLOOKUP($S67,QueryData!C:N,12,0),"")</f>
        <v/>
      </c>
    </row>
    <row r="68" spans="20:23">
      <c r="T68" s="74" t="str">
        <f>IFERROR(VLOOKUP($S68,QueryData!$C:$F,4,0),"")</f>
        <v/>
      </c>
      <c r="V68" s="1" t="str">
        <f>IFERROR(VLOOKUP(DataProcessing!$S68,QueryData!$C:$L,10,0),"")</f>
        <v/>
      </c>
      <c r="W68" t="str">
        <f>IFERROR(VLOOKUP($S68,QueryData!C:N,12,0),"")</f>
        <v/>
      </c>
    </row>
    <row r="69" spans="20:23">
      <c r="T69" s="74" t="str">
        <f>IFERROR(VLOOKUP($S69,QueryData!$C:$F,4,0),"")</f>
        <v/>
      </c>
      <c r="V69" s="1" t="str">
        <f>IFERROR(VLOOKUP(DataProcessing!$S69,QueryData!$C:$L,10,0),"")</f>
        <v/>
      </c>
      <c r="W69" t="str">
        <f>IFERROR(VLOOKUP($S69,QueryData!C:N,12,0),"")</f>
        <v/>
      </c>
    </row>
    <row r="70" spans="20:23">
      <c r="T70" s="74" t="str">
        <f>IFERROR(VLOOKUP($S70,QueryData!$C:$F,4,0),"")</f>
        <v/>
      </c>
      <c r="V70" s="1" t="str">
        <f>IFERROR(VLOOKUP(DataProcessing!$S70,QueryData!$C:$L,10,0),"")</f>
        <v/>
      </c>
      <c r="W70" t="str">
        <f>IFERROR(VLOOKUP($S70,QueryData!C:N,12,0),"")</f>
        <v/>
      </c>
    </row>
    <row r="71" spans="20:23">
      <c r="T71" s="74" t="str">
        <f>IFERROR(VLOOKUP($S71,QueryData!$C:$F,4,0),"")</f>
        <v/>
      </c>
      <c r="V71" s="1" t="str">
        <f>IFERROR(VLOOKUP(DataProcessing!$S71,QueryData!$C:$L,10,0),"")</f>
        <v/>
      </c>
      <c r="W71" t="str">
        <f>IFERROR(VLOOKUP($S71,QueryData!C:N,12,0),"")</f>
        <v/>
      </c>
    </row>
    <row r="72" spans="20:23">
      <c r="T72" s="74" t="str">
        <f>IFERROR(VLOOKUP($S72,QueryData!$C:$F,4,0),"")</f>
        <v/>
      </c>
      <c r="V72" s="1" t="str">
        <f>IFERROR(VLOOKUP(DataProcessing!$S72,QueryData!$C:$L,10,0),"")</f>
        <v/>
      </c>
      <c r="W72" t="str">
        <f>IFERROR(VLOOKUP($S72,QueryData!C:N,12,0),"")</f>
        <v/>
      </c>
    </row>
    <row r="73" spans="20:23">
      <c r="T73" s="74" t="str">
        <f>IFERROR(VLOOKUP($S73,QueryData!$C:$F,4,0),"")</f>
        <v/>
      </c>
      <c r="V73" s="1" t="str">
        <f>IFERROR(VLOOKUP(DataProcessing!$S73,QueryData!$C:$L,10,0),"")</f>
        <v/>
      </c>
      <c r="W73" t="str">
        <f>IFERROR(VLOOKUP($S73,QueryData!C:N,12,0),"")</f>
        <v/>
      </c>
    </row>
    <row r="74" spans="20:23">
      <c r="V74" s="1" t="str">
        <f>IFERROR(VLOOKUP(DataProcessing!$S74,QueryData!$C:$L,10,0),"")</f>
        <v/>
      </c>
      <c r="W74" t="str">
        <f>IFERROR(VLOOKUP($S74,QueryData!C:N,12,0),"")</f>
        <v/>
      </c>
    </row>
    <row r="75" spans="20:23">
      <c r="V75" s="1" t="str">
        <f>IFERROR(VLOOKUP(DataProcessing!$S75,QueryData!$C:$L,10,0),"")</f>
        <v/>
      </c>
      <c r="W75" t="str">
        <f>IFERROR(VLOOKUP($S75,QueryData!C:N,12,0),"")</f>
        <v/>
      </c>
    </row>
    <row r="76" spans="20:23">
      <c r="V76" s="1" t="str">
        <f>IFERROR(VLOOKUP(DataProcessing!$S76,QueryData!$C:$L,10,0),"")</f>
        <v/>
      </c>
      <c r="W76" t="str">
        <f>IFERROR(VLOOKUP($S76,QueryData!C:N,12,0),"")</f>
        <v/>
      </c>
    </row>
    <row r="77" spans="20:23">
      <c r="V77" s="1" t="str">
        <f>IFERROR(VLOOKUP(DataProcessing!$S77,QueryData!$C:$L,10,0),"")</f>
        <v/>
      </c>
      <c r="W77" t="str">
        <f>IFERROR(VLOOKUP($S77,QueryData!C:N,12,0),"")</f>
        <v/>
      </c>
    </row>
    <row r="78" spans="20:23">
      <c r="V78" s="1" t="str">
        <f>IFERROR(VLOOKUP(DataProcessing!$S78,QueryData!$C:$L,10,0),"")</f>
        <v/>
      </c>
      <c r="W78" t="str">
        <f>IFERROR(VLOOKUP($S78,QueryData!C:N,12,0),"")</f>
        <v/>
      </c>
    </row>
    <row r="79" spans="20:23">
      <c r="V79" s="1" t="str">
        <f>IFERROR(VLOOKUP(DataProcessing!$S79,QueryData!$C:$L,10,0),"")</f>
        <v/>
      </c>
      <c r="W79" t="str">
        <f>IFERROR(VLOOKUP($S79,QueryData!C:N,12,0),"")</f>
        <v/>
      </c>
    </row>
    <row r="80" spans="20:23">
      <c r="V80" s="1" t="str">
        <f>IFERROR(VLOOKUP(DataProcessing!$S80,QueryData!$C:$L,10,0),"")</f>
        <v/>
      </c>
      <c r="W80" t="str">
        <f>IFERROR(VLOOKUP($S80,QueryData!C:N,12,0),"")</f>
        <v/>
      </c>
    </row>
    <row r="81" spans="22:23">
      <c r="V81" s="1" t="str">
        <f>IFERROR(VLOOKUP(DataProcessing!$S81,QueryData!$C:$L,10,0),"")</f>
        <v/>
      </c>
      <c r="W81" t="str">
        <f>IFERROR(VLOOKUP($S81,QueryData!C:N,12,0),"")</f>
        <v/>
      </c>
    </row>
    <row r="82" spans="22:23">
      <c r="V82" s="1" t="str">
        <f>IFERROR(VLOOKUP(DataProcessing!$S82,QueryData!$C:$L,10,0),"")</f>
        <v/>
      </c>
      <c r="W82" t="str">
        <f>IFERROR(VLOOKUP($S82,QueryData!C:N,12,0),"")</f>
        <v/>
      </c>
    </row>
    <row r="83" spans="22:23">
      <c r="V83" s="1" t="str">
        <f>IFERROR(VLOOKUP(DataProcessing!$S83,QueryData!$C:$L,10,0),"")</f>
        <v/>
      </c>
      <c r="W83" t="str">
        <f>IFERROR(VLOOKUP($S83,QueryData!C:N,12,0),"")</f>
        <v/>
      </c>
    </row>
    <row r="84" spans="22:23">
      <c r="V84" s="1" t="str">
        <f>IFERROR(VLOOKUP(DataProcessing!$S84,QueryData!$C:$L,10,0),"")</f>
        <v/>
      </c>
      <c r="W84" t="str">
        <f>IFERROR(VLOOKUP($S84,QueryData!C:N,12,0),"")</f>
        <v/>
      </c>
    </row>
    <row r="85" spans="22:23">
      <c r="V85" s="1" t="str">
        <f>IFERROR(VLOOKUP(DataProcessing!$S85,QueryData!$C:$L,10,0),"")</f>
        <v/>
      </c>
      <c r="W85" t="str">
        <f>IFERROR(VLOOKUP($S85,QueryData!C:N,12,0),"")</f>
        <v/>
      </c>
    </row>
    <row r="86" spans="22:23">
      <c r="V86" s="1" t="str">
        <f>IFERROR(VLOOKUP(DataProcessing!$S86,QueryData!$C:$L,10,0),"")</f>
        <v/>
      </c>
      <c r="W86" t="str">
        <f>IFERROR(VLOOKUP($S86,QueryData!C:N,12,0),"")</f>
        <v/>
      </c>
    </row>
    <row r="87" spans="22:23">
      <c r="V87" s="1" t="str">
        <f>IFERROR(VLOOKUP(DataProcessing!$S87,QueryData!$C:$L,10,0),"")</f>
        <v/>
      </c>
      <c r="W87" t="str">
        <f>IFERROR(VLOOKUP($S87,QueryData!C:N,12,0),"")</f>
        <v/>
      </c>
    </row>
    <row r="88" spans="22:23">
      <c r="V88" s="1" t="str">
        <f>IFERROR(VLOOKUP(DataProcessing!$S88,QueryData!$C:$L,10,0),"")</f>
        <v/>
      </c>
      <c r="W88" t="str">
        <f>IFERROR(VLOOKUP($S88,QueryData!C:N,12,0),"")</f>
        <v/>
      </c>
    </row>
    <row r="89" spans="22:23">
      <c r="V89" s="1" t="str">
        <f>IFERROR(VLOOKUP(DataProcessing!$S89,QueryData!$C:$L,10,0),"")</f>
        <v/>
      </c>
      <c r="W89" t="str">
        <f>IFERROR(VLOOKUP($S89,QueryData!C:N,12,0),"")</f>
        <v/>
      </c>
    </row>
    <row r="90" spans="22:23">
      <c r="V90" s="1" t="str">
        <f>IFERROR(VLOOKUP(DataProcessing!$S90,QueryData!$C:$L,10,0),"")</f>
        <v/>
      </c>
      <c r="W90" t="str">
        <f>IFERROR(VLOOKUP($S90,QueryData!C:N,12,0),"")</f>
        <v/>
      </c>
    </row>
    <row r="91" spans="22:23">
      <c r="V91" s="1" t="str">
        <f>IFERROR(VLOOKUP(DataProcessing!$S91,QueryData!$C:$L,10,0),"")</f>
        <v/>
      </c>
      <c r="W91" t="str">
        <f>IFERROR(VLOOKUP($S91,QueryData!C:N,12,0),"")</f>
        <v/>
      </c>
    </row>
    <row r="92" spans="22:23">
      <c r="V92" s="1" t="str">
        <f>IFERROR(VLOOKUP(DataProcessing!$S92,QueryData!$C:$L,10,0),"")</f>
        <v/>
      </c>
      <c r="W92" t="str">
        <f>IFERROR(VLOOKUP($S92,QueryData!C:N,12,0),"")</f>
        <v/>
      </c>
    </row>
    <row r="93" spans="22:23">
      <c r="V93" s="1" t="str">
        <f>IFERROR(VLOOKUP(DataProcessing!$S93,QueryData!$C:$L,10,0),"")</f>
        <v/>
      </c>
      <c r="W93" t="str">
        <f>IFERROR(VLOOKUP($S93,QueryData!C:N,12,0),"")</f>
        <v/>
      </c>
    </row>
    <row r="94" spans="22:23">
      <c r="V94" s="1" t="str">
        <f>IFERROR(VLOOKUP(DataProcessing!$S94,QueryData!$C:$L,10,0),"")</f>
        <v/>
      </c>
      <c r="W94" t="str">
        <f>IFERROR(VLOOKUP($S94,QueryData!C:N,12,0),"")</f>
        <v/>
      </c>
    </row>
    <row r="95" spans="22:23">
      <c r="V95" s="1" t="str">
        <f>IFERROR(VLOOKUP(DataProcessing!$S95,QueryData!$C:$L,10,0),"")</f>
        <v/>
      </c>
      <c r="W95" t="str">
        <f>IFERROR(VLOOKUP($S95,QueryData!C:N,12,0),"")</f>
        <v/>
      </c>
    </row>
    <row r="96" spans="22:23">
      <c r="V96" s="1" t="str">
        <f>IFERROR(VLOOKUP(DataProcessing!$S96,QueryData!$C:$L,10,0),"")</f>
        <v/>
      </c>
      <c r="W96" t="str">
        <f>IFERROR(VLOOKUP($S96,QueryData!C:N,12,0),"")</f>
        <v/>
      </c>
    </row>
    <row r="97" spans="22:23">
      <c r="V97" s="1" t="str">
        <f>IFERROR(VLOOKUP(DataProcessing!$S97,QueryData!$C:$L,10,0),"")</f>
        <v/>
      </c>
      <c r="W97" t="str">
        <f>IFERROR(VLOOKUP($S97,QueryData!C:N,12,0),"")</f>
        <v/>
      </c>
    </row>
    <row r="98" spans="22:23">
      <c r="V98" s="1" t="str">
        <f>IFERROR(VLOOKUP(DataProcessing!$S98,QueryData!$C:$L,10,0),"")</f>
        <v/>
      </c>
      <c r="W98" t="str">
        <f>IFERROR(VLOOKUP($S98,QueryData!C:N,12,0),"")</f>
        <v/>
      </c>
    </row>
    <row r="99" spans="22:23">
      <c r="V99" s="1" t="str">
        <f>IFERROR(VLOOKUP(DataProcessing!$S99,QueryData!$C:$L,10,0),"")</f>
        <v/>
      </c>
      <c r="W99" t="str">
        <f>IFERROR(VLOOKUP($S99,QueryData!C:N,12,0),"")</f>
        <v/>
      </c>
    </row>
    <row r="100" spans="22:23">
      <c r="V100" s="1" t="str">
        <f>IFERROR(VLOOKUP(DataProcessing!$S100,QueryData!$C:$L,10,0),"")</f>
        <v/>
      </c>
      <c r="W100" t="str">
        <f>IFERROR(VLOOKUP($S100,QueryData!C:N,12,0),"")</f>
        <v/>
      </c>
    </row>
    <row r="101" spans="22:23">
      <c r="V101" s="1" t="str">
        <f>IFERROR(VLOOKUP(DataProcessing!$S101,QueryData!$C:$L,10,0),"")</f>
        <v/>
      </c>
      <c r="W101" t="str">
        <f>IFERROR(VLOOKUP($S101,QueryData!C:N,12,0),"")</f>
        <v/>
      </c>
    </row>
    <row r="102" spans="22:23">
      <c r="V102" s="1" t="str">
        <f>IFERROR(VLOOKUP(DataProcessing!$S102,QueryData!$C:$L,10,0),"")</f>
        <v/>
      </c>
      <c r="W102" t="str">
        <f>IFERROR(VLOOKUP($S102,QueryData!C:N,12,0),"")</f>
        <v/>
      </c>
    </row>
    <row r="103" spans="22:23">
      <c r="V103" s="1" t="str">
        <f>IFERROR(VLOOKUP(DataProcessing!$S103,QueryData!$C:$L,10,0),"")</f>
        <v/>
      </c>
      <c r="W103" t="str">
        <f>IFERROR(VLOOKUP($S103,QueryData!C:N,12,0),"")</f>
        <v/>
      </c>
    </row>
    <row r="104" spans="22:23">
      <c r="V104" s="1" t="str">
        <f>IFERROR(VLOOKUP(DataProcessing!$S104,QueryData!$C:$L,10,0),"")</f>
        <v/>
      </c>
      <c r="W104" t="str">
        <f>IFERROR(VLOOKUP($S104,QueryData!C:N,12,0),"")</f>
        <v/>
      </c>
    </row>
    <row r="105" spans="22:23">
      <c r="V105" s="1" t="str">
        <f>IFERROR(VLOOKUP(DataProcessing!$S105,QueryData!$C:$L,10,0),"")</f>
        <v/>
      </c>
      <c r="W105" t="str">
        <f>IFERROR(VLOOKUP($S105,QueryData!C:N,12,0),"")</f>
        <v/>
      </c>
    </row>
    <row r="106" spans="22:23">
      <c r="V106" s="1" t="str">
        <f>IFERROR(VLOOKUP(DataProcessing!$S106,QueryData!$C:$L,10,0),"")</f>
        <v/>
      </c>
      <c r="W106" t="str">
        <f>IFERROR(VLOOKUP($S106,QueryData!C:N,12,0),"")</f>
        <v/>
      </c>
    </row>
    <row r="107" spans="22:23">
      <c r="V107" s="1" t="str">
        <f>IFERROR(VLOOKUP(DataProcessing!$S107,QueryData!$C:$L,10,0),"")</f>
        <v/>
      </c>
      <c r="W107" t="str">
        <f>IFERROR(VLOOKUP($S107,QueryData!C:N,12,0),"")</f>
        <v/>
      </c>
    </row>
    <row r="108" spans="22:23">
      <c r="V108" s="1" t="str">
        <f>IFERROR(VLOOKUP(DataProcessing!$S108,QueryData!$C:$L,10,0),"")</f>
        <v/>
      </c>
      <c r="W108" t="str">
        <f>IFERROR(VLOOKUP($S108,QueryData!C:N,12,0),"")</f>
        <v/>
      </c>
    </row>
    <row r="109" spans="22:23">
      <c r="V109" s="1" t="str">
        <f>IFERROR(VLOOKUP(DataProcessing!$S109,QueryData!$C:$L,10,0),"")</f>
        <v/>
      </c>
      <c r="W109" t="str">
        <f>IFERROR(VLOOKUP($S109,QueryData!C:N,12,0),"")</f>
        <v/>
      </c>
    </row>
    <row r="110" spans="22:23">
      <c r="W110" t="str">
        <f>IFERROR(VLOOKUP($S110,QueryData!C:N,12,0),"")</f>
        <v/>
      </c>
    </row>
    <row r="111" spans="22:23">
      <c r="W111" t="str">
        <f>IFERROR(VLOOKUP($S111,QueryData!C:N,12,0),"")</f>
        <v/>
      </c>
    </row>
    <row r="112" spans="22:23">
      <c r="W112" t="str">
        <f>IFERROR(VLOOKUP($S112,QueryData!C:N,12,0),"")</f>
        <v/>
      </c>
    </row>
    <row r="113" spans="23:23">
      <c r="W113" t="str">
        <f>IFERROR(VLOOKUP($S113,QueryData!C:N,12,0),"")</f>
        <v/>
      </c>
    </row>
    <row r="114" spans="23:23">
      <c r="W114" t="str">
        <f>IFERROR(VLOOKUP($S114,QueryData!C:N,12,0),"")</f>
        <v/>
      </c>
    </row>
    <row r="115" spans="23:23">
      <c r="W115" t="str">
        <f>IFERROR(VLOOKUP($S115,QueryData!C:N,12,0),"")</f>
        <v/>
      </c>
    </row>
    <row r="116" spans="23:23">
      <c r="W116" t="str">
        <f>IFERROR(VLOOKUP($S116,QueryData!C:N,12,0),"")</f>
        <v/>
      </c>
    </row>
    <row r="117" spans="23:23">
      <c r="W117" t="str">
        <f>IFERROR(VLOOKUP($S117,QueryData!C:N,12,0),"")</f>
        <v/>
      </c>
    </row>
    <row r="118" spans="23:23">
      <c r="W118" t="str">
        <f>IFERROR(VLOOKUP($S118,QueryData!C:N,12,0),"")</f>
        <v/>
      </c>
    </row>
    <row r="119" spans="23:23">
      <c r="W119" t="str">
        <f>IFERROR(VLOOKUP($S119,QueryData!C:N,12,0),"")</f>
        <v/>
      </c>
    </row>
    <row r="120" spans="23:23">
      <c r="W120" t="str">
        <f>IFERROR(VLOOKUP($S120,QueryData!C:N,12,0),"")</f>
        <v/>
      </c>
    </row>
    <row r="121" spans="23:23">
      <c r="W121" t="str">
        <f>IFERROR(VLOOKUP($S121,QueryData!C:N,12,0),"")</f>
        <v/>
      </c>
    </row>
    <row r="122" spans="23:23">
      <c r="W122" t="str">
        <f>IFERROR(VLOOKUP($S122,QueryData!C:N,12,0),"")</f>
        <v/>
      </c>
    </row>
    <row r="123" spans="23:23">
      <c r="W123" t="str">
        <f>IFERROR(VLOOKUP($S123,QueryData!C:N,12,0),"")</f>
        <v/>
      </c>
    </row>
    <row r="124" spans="23:23">
      <c r="W124" t="str">
        <f>IFERROR(VLOOKUP($S124,QueryData!C:N,12,0),"")</f>
        <v/>
      </c>
    </row>
    <row r="125" spans="23:23">
      <c r="W125" t="str">
        <f>IFERROR(VLOOKUP($S125,QueryData!C:N,12,0),"")</f>
        <v/>
      </c>
    </row>
    <row r="126" spans="23:23">
      <c r="W126" t="str">
        <f>IFERROR(VLOOKUP($S126,QueryData!C:N,12,0),"")</f>
        <v/>
      </c>
    </row>
    <row r="127" spans="23:23">
      <c r="W127" t="str">
        <f>IFERROR(VLOOKUP($S127,QueryData!C:N,12,0),"")</f>
        <v/>
      </c>
    </row>
    <row r="128" spans="23:23">
      <c r="W128" t="str">
        <f>IFERROR(VLOOKUP($S128,QueryData!C:N,12,0),"")</f>
        <v/>
      </c>
    </row>
    <row r="129" spans="23:23">
      <c r="W129" t="str">
        <f>IFERROR(VLOOKUP($S129,QueryData!C:N,12,0),"")</f>
        <v/>
      </c>
    </row>
    <row r="130" spans="23:23">
      <c r="W130" t="str">
        <f>IFERROR(VLOOKUP($S130,QueryData!C:N,12,0),"")</f>
        <v/>
      </c>
    </row>
    <row r="131" spans="23:23">
      <c r="W131" t="str">
        <f>IFERROR(VLOOKUP($S131,QueryData!C:N,12,0),"")</f>
        <v/>
      </c>
    </row>
    <row r="132" spans="23:23">
      <c r="W132" t="str">
        <f>IFERROR(VLOOKUP($S132,QueryData!C:N,12,0),"")</f>
        <v/>
      </c>
    </row>
    <row r="133" spans="23:23">
      <c r="W133" t="str">
        <f>IFERROR(VLOOKUP($S133,QueryData!C:N,12,0),"")</f>
        <v/>
      </c>
    </row>
    <row r="134" spans="23:23">
      <c r="W134" t="str">
        <f>IFERROR(VLOOKUP($S134,QueryData!C:N,12,0),"")</f>
        <v/>
      </c>
    </row>
    <row r="135" spans="23:23">
      <c r="W135" t="str">
        <f>IFERROR(VLOOKUP($S135,QueryData!C:N,12,0),"")</f>
        <v/>
      </c>
    </row>
    <row r="136" spans="23:23">
      <c r="W136" t="str">
        <f>IFERROR(VLOOKUP($S136,QueryData!C:N,12,0),"")</f>
        <v/>
      </c>
    </row>
    <row r="137" spans="23:23">
      <c r="W137" t="str">
        <f>IFERROR(VLOOKUP($S137,QueryData!C:N,12,0),"")</f>
        <v/>
      </c>
    </row>
    <row r="138" spans="23:23">
      <c r="W138" t="str">
        <f>IFERROR(VLOOKUP($S138,QueryData!C:N,12,0),"")</f>
        <v/>
      </c>
    </row>
    <row r="139" spans="23:23">
      <c r="W139" t="str">
        <f>IFERROR(VLOOKUP($S139,QueryData!C:N,12,0),"")</f>
        <v/>
      </c>
    </row>
    <row r="140" spans="23:23">
      <c r="W140" t="str">
        <f>IFERROR(VLOOKUP($S140,QueryData!C:N,12,0),"")</f>
        <v/>
      </c>
    </row>
    <row r="141" spans="23:23">
      <c r="W141" t="str">
        <f>IFERROR(VLOOKUP($S141,QueryData!C:N,12,0),"")</f>
        <v/>
      </c>
    </row>
    <row r="142" spans="23:23">
      <c r="W142" t="str">
        <f>IFERROR(VLOOKUP($S142,QueryData!C:N,12,0),"")</f>
        <v/>
      </c>
    </row>
    <row r="143" spans="23:23">
      <c r="W143" t="str">
        <f>IFERROR(VLOOKUP($S143,QueryData!C:N,12,0),"")</f>
        <v/>
      </c>
    </row>
    <row r="144" spans="23:23">
      <c r="W144" t="str">
        <f>IFERROR(VLOOKUP($S144,QueryData!C:N,12,0),"")</f>
        <v/>
      </c>
    </row>
    <row r="145" spans="23:23">
      <c r="W145" t="str">
        <f>IFERROR(VLOOKUP($S145,QueryData!C:N,12,0),"")</f>
        <v/>
      </c>
    </row>
    <row r="146" spans="23:23">
      <c r="W146" t="str">
        <f>IFERROR(VLOOKUP($S146,QueryData!C:N,12,0),"")</f>
        <v/>
      </c>
    </row>
    <row r="147" spans="23:23">
      <c r="W147" t="str">
        <f>IFERROR(VLOOKUP($S147,QueryData!C:N,12,0),"")</f>
        <v/>
      </c>
    </row>
    <row r="148" spans="23:23">
      <c r="W148" t="str">
        <f>IFERROR(VLOOKUP($S148,QueryData!C:N,12,0),"")</f>
        <v/>
      </c>
    </row>
    <row r="149" spans="23:23">
      <c r="W149" t="str">
        <f>IFERROR(VLOOKUP($S149,QueryData!C:N,12,0),"")</f>
        <v/>
      </c>
    </row>
    <row r="150" spans="23:23">
      <c r="W150" t="str">
        <f>IFERROR(VLOOKUP($S150,QueryData!C:N,12,0),"")</f>
        <v/>
      </c>
    </row>
    <row r="151" spans="23:23">
      <c r="W151" t="str">
        <f>IFERROR(VLOOKUP($S151,QueryData!C:N,12,0),"")</f>
        <v/>
      </c>
    </row>
    <row r="152" spans="23:23">
      <c r="W152" t="str">
        <f>IFERROR(VLOOKUP($S152,QueryData!C:N,12,0),"")</f>
        <v/>
      </c>
    </row>
    <row r="153" spans="23:23">
      <c r="W153" t="str">
        <f>IFERROR(VLOOKUP($S153,QueryData!C:N,12,0),"")</f>
        <v/>
      </c>
    </row>
    <row r="154" spans="23:23">
      <c r="W154" t="str">
        <f>IFERROR(VLOOKUP($S154,QueryData!C:N,12,0),"")</f>
        <v/>
      </c>
    </row>
    <row r="155" spans="23:23">
      <c r="W155" t="str">
        <f>IFERROR(VLOOKUP($S155,QueryData!C:N,12,0),"")</f>
        <v/>
      </c>
    </row>
    <row r="156" spans="23:23">
      <c r="W156" t="str">
        <f>IFERROR(VLOOKUP($S156,QueryData!C:N,12,0),"")</f>
        <v/>
      </c>
    </row>
    <row r="157" spans="23:23">
      <c r="W157" t="str">
        <f>IFERROR(VLOOKUP($S157,QueryData!C:N,12,0),"")</f>
        <v/>
      </c>
    </row>
    <row r="158" spans="23:23">
      <c r="W158" t="str">
        <f>IFERROR(VLOOKUP($S158,QueryData!C:N,12,0),"")</f>
        <v/>
      </c>
    </row>
    <row r="159" spans="23:23">
      <c r="W159" t="str">
        <f>IFERROR(VLOOKUP($S159,QueryData!C:N,12,0),"")</f>
        <v/>
      </c>
    </row>
    <row r="160" spans="23:23">
      <c r="W160" t="str">
        <f>IFERROR(VLOOKUP($S160,QueryData!C:N,12,0),"")</f>
        <v/>
      </c>
    </row>
    <row r="161" spans="23:23">
      <c r="W161" t="str">
        <f>IFERROR(VLOOKUP($S161,QueryData!C:N,12,0),"")</f>
        <v/>
      </c>
    </row>
    <row r="162" spans="23:23">
      <c r="W162" t="str">
        <f>IFERROR(VLOOKUP($S162,QueryData!C:N,12,0),"")</f>
        <v/>
      </c>
    </row>
    <row r="163" spans="23:23">
      <c r="W163" t="str">
        <f>IFERROR(VLOOKUP($S163,QueryData!C:N,12,0),"")</f>
        <v/>
      </c>
    </row>
    <row r="164" spans="23:23">
      <c r="W164" t="str">
        <f>IFERROR(VLOOKUP($S164,QueryData!C:N,12,0),"")</f>
        <v/>
      </c>
    </row>
    <row r="165" spans="23:23">
      <c r="W165" t="str">
        <f>IFERROR(VLOOKUP($S165,QueryData!C:N,12,0),"")</f>
        <v/>
      </c>
    </row>
    <row r="166" spans="23:23">
      <c r="W166" t="str">
        <f>IFERROR(VLOOKUP($S166,QueryData!C:N,12,0),"")</f>
        <v/>
      </c>
    </row>
    <row r="167" spans="23:23">
      <c r="W167" t="str">
        <f>IFERROR(VLOOKUP($S167,QueryData!C:N,12,0),"")</f>
        <v/>
      </c>
    </row>
    <row r="168" spans="23:23">
      <c r="W168" t="str">
        <f>IFERROR(VLOOKUP($S168,QueryData!C:N,12,0),"")</f>
        <v/>
      </c>
    </row>
    <row r="169" spans="23:23">
      <c r="W169" t="str">
        <f>IFERROR(VLOOKUP($S169,QueryData!C:N,12,0),"")</f>
        <v/>
      </c>
    </row>
    <row r="170" spans="23:23">
      <c r="W170" t="str">
        <f>IFERROR(VLOOKUP($S170,QueryData!C:N,12,0),"")</f>
        <v/>
      </c>
    </row>
    <row r="171" spans="23:23">
      <c r="W171" t="str">
        <f>IFERROR(VLOOKUP($S171,QueryData!C:N,12,0),"")</f>
        <v/>
      </c>
    </row>
    <row r="172" spans="23:23">
      <c r="W172" t="str">
        <f>IFERROR(VLOOKUP($S172,QueryData!C:N,12,0),"")</f>
        <v/>
      </c>
    </row>
    <row r="173" spans="23:23">
      <c r="W173" t="str">
        <f>IFERROR(VLOOKUP($S173,QueryData!C:N,12,0),"")</f>
        <v/>
      </c>
    </row>
    <row r="174" spans="23:23">
      <c r="W174" t="str">
        <f>IFERROR(VLOOKUP($S174,QueryData!C:N,12,0),"")</f>
        <v/>
      </c>
    </row>
    <row r="175" spans="23:23">
      <c r="W175" t="str">
        <f>IFERROR(VLOOKUP($S175,QueryData!C:N,12,0),"")</f>
        <v/>
      </c>
    </row>
    <row r="176" spans="23:23">
      <c r="W176" t="str">
        <f>IFERROR(VLOOKUP($S176,QueryData!C:N,12,0),"")</f>
        <v/>
      </c>
    </row>
    <row r="177" spans="23:23">
      <c r="W177" t="str">
        <f>IFERROR(VLOOKUP($S177,QueryData!C:N,12,0),"")</f>
        <v/>
      </c>
    </row>
    <row r="178" spans="23:23">
      <c r="W178" t="str">
        <f>IFERROR(VLOOKUP($S178,QueryData!C:N,12,0),"")</f>
        <v/>
      </c>
    </row>
    <row r="179" spans="23:23">
      <c r="W179" t="str">
        <f>IFERROR(VLOOKUP($S179,QueryData!C:N,12,0),"")</f>
        <v/>
      </c>
    </row>
    <row r="180" spans="23:23">
      <c r="W180" t="str">
        <f>IFERROR(VLOOKUP($S180,QueryData!C:N,12,0),"")</f>
        <v/>
      </c>
    </row>
    <row r="181" spans="23:23">
      <c r="W181" t="str">
        <f>IFERROR(VLOOKUP($S181,QueryData!C:N,12,0),"")</f>
        <v/>
      </c>
    </row>
    <row r="182" spans="23:23">
      <c r="W182" t="str">
        <f>IFERROR(VLOOKUP($S182,QueryData!C:N,12,0),"")</f>
        <v/>
      </c>
    </row>
    <row r="183" spans="23:23">
      <c r="W183" t="str">
        <f>IFERROR(VLOOKUP($S183,QueryData!C:N,12,0),"")</f>
        <v/>
      </c>
    </row>
    <row r="184" spans="23:23">
      <c r="W184" t="str">
        <f>IFERROR(VLOOKUP($S184,QueryData!C:N,12,0),"")</f>
        <v/>
      </c>
    </row>
    <row r="185" spans="23:23">
      <c r="W185" t="str">
        <f>IFERROR(VLOOKUP($S185,QueryData!C:N,12,0),"")</f>
        <v/>
      </c>
    </row>
    <row r="186" spans="23:23">
      <c r="W186" t="str">
        <f>IFERROR(VLOOKUP($S186,QueryData!C:N,12,0),"")</f>
        <v/>
      </c>
    </row>
    <row r="187" spans="23:23">
      <c r="W187" t="str">
        <f>IFERROR(VLOOKUP($S187,QueryData!C:N,12,0),"")</f>
        <v/>
      </c>
    </row>
    <row r="188" spans="23:23">
      <c r="W188" t="str">
        <f>IFERROR(VLOOKUP($S188,QueryData!C:N,12,0),"")</f>
        <v/>
      </c>
    </row>
    <row r="189" spans="23:23">
      <c r="W189" t="str">
        <f>IFERROR(VLOOKUP($S189,QueryData!C:N,12,0),"")</f>
        <v/>
      </c>
    </row>
    <row r="190" spans="23:23">
      <c r="W190" t="str">
        <f>IFERROR(VLOOKUP($S190,QueryData!C:N,12,0),"")</f>
        <v/>
      </c>
    </row>
    <row r="191" spans="23:23">
      <c r="W191" t="str">
        <f>IFERROR(VLOOKUP($S191,QueryData!C:N,12,0),"")</f>
        <v/>
      </c>
    </row>
    <row r="192" spans="23:23">
      <c r="W192" t="str">
        <f>IFERROR(VLOOKUP($S192,QueryData!C:N,12,0),"")</f>
        <v/>
      </c>
    </row>
    <row r="193" spans="23:23">
      <c r="W193" t="str">
        <f>IFERROR(VLOOKUP($S193,QueryData!C:N,12,0),"")</f>
        <v/>
      </c>
    </row>
    <row r="194" spans="23:23">
      <c r="W194" t="str">
        <f>IFERROR(VLOOKUP($S194,QueryData!C:N,12,0),"")</f>
        <v/>
      </c>
    </row>
    <row r="195" spans="23:23">
      <c r="W195" t="str">
        <f>IFERROR(VLOOKUP($S195,QueryData!C:N,12,0),"")</f>
        <v/>
      </c>
    </row>
    <row r="196" spans="23:23">
      <c r="W196" t="str">
        <f>IFERROR(VLOOKUP($S196,QueryData!C:N,12,0),"")</f>
        <v/>
      </c>
    </row>
    <row r="197" spans="23:23">
      <c r="W197" t="str">
        <f>IFERROR(VLOOKUP($S197,QueryData!C:N,12,0),"")</f>
        <v/>
      </c>
    </row>
    <row r="198" spans="23:23">
      <c r="W198" t="str">
        <f>IFERROR(VLOOKUP($S198,QueryData!C:N,12,0),"")</f>
        <v/>
      </c>
    </row>
    <row r="199" spans="23:23">
      <c r="W199" t="str">
        <f>IFERROR(VLOOKUP($S199,QueryData!C:N,12,0),"")</f>
        <v/>
      </c>
    </row>
    <row r="200" spans="23:23">
      <c r="W200" t="str">
        <f>IFERROR(VLOOKUP($S200,QueryData!C:N,12,0),"")</f>
        <v/>
      </c>
    </row>
    <row r="201" spans="23:23">
      <c r="W201" t="str">
        <f>IFERROR(VLOOKUP($S201,QueryData!C:N,12,0),"")</f>
        <v/>
      </c>
    </row>
    <row r="202" spans="23:23">
      <c r="W202" t="str">
        <f>IFERROR(VLOOKUP($S202,QueryData!C:N,12,0),"")</f>
        <v/>
      </c>
    </row>
    <row r="203" spans="23:23">
      <c r="W203" t="str">
        <f>IFERROR(VLOOKUP($S203,QueryData!C:N,12,0),"")</f>
        <v/>
      </c>
    </row>
    <row r="204" spans="23:23">
      <c r="W204" t="str">
        <f>IFERROR(VLOOKUP($S204,QueryData!C:N,12,0),"")</f>
        <v/>
      </c>
    </row>
    <row r="205" spans="23:23">
      <c r="W205" t="str">
        <f>IFERROR(VLOOKUP($S205,QueryData!C:N,12,0),"")</f>
        <v/>
      </c>
    </row>
    <row r="206" spans="23:23">
      <c r="W206" t="str">
        <f>IFERROR(VLOOKUP($S206,QueryData!C:N,12,0),"")</f>
        <v/>
      </c>
    </row>
    <row r="207" spans="23:23">
      <c r="W207" t="str">
        <f>IFERROR(VLOOKUP($S207,QueryData!C:N,12,0),"")</f>
        <v/>
      </c>
    </row>
    <row r="208" spans="23:23">
      <c r="W208" t="str">
        <f>IFERROR(VLOOKUP($S208,QueryData!C:N,12,0),"")</f>
        <v/>
      </c>
    </row>
    <row r="209" spans="23:23">
      <c r="W209" t="str">
        <f>IFERROR(VLOOKUP($S209,QueryData!C:N,12,0),"")</f>
        <v/>
      </c>
    </row>
    <row r="210" spans="23:23">
      <c r="W210" t="str">
        <f>IFERROR(VLOOKUP($S210,QueryData!C:N,12,0),"")</f>
        <v/>
      </c>
    </row>
    <row r="211" spans="23:23">
      <c r="W211" t="str">
        <f>IFERROR(VLOOKUP($S211,QueryData!C:N,12,0),"")</f>
        <v/>
      </c>
    </row>
    <row r="212" spans="23:23">
      <c r="W212" t="str">
        <f>IFERROR(VLOOKUP($S212,QueryData!C:N,12,0),"")</f>
        <v/>
      </c>
    </row>
    <row r="213" spans="23:23">
      <c r="W213" t="str">
        <f>IFERROR(VLOOKUP($S213,QueryData!C:N,12,0),"")</f>
        <v/>
      </c>
    </row>
    <row r="214" spans="23:23">
      <c r="W214" t="str">
        <f>IFERROR(VLOOKUP($S214,QueryData!C:N,12,0),"")</f>
        <v/>
      </c>
    </row>
    <row r="215" spans="23:23">
      <c r="W215" t="str">
        <f>IFERROR(VLOOKUP($S215,QueryData!C:N,12,0),"")</f>
        <v/>
      </c>
    </row>
    <row r="216" spans="23:23">
      <c r="W216" t="str">
        <f>IFERROR(VLOOKUP($S216,QueryData!C:N,12,0),"")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9ECA-1D2D-4501-824D-F66A6E85CDED}">
  <sheetPr codeName="Sheet5">
    <tabColor theme="9"/>
  </sheetPr>
  <dimension ref="A1:U937"/>
  <sheetViews>
    <sheetView workbookViewId="0">
      <pane ySplit="1" topLeftCell="A2" activePane="bottomLeft" state="frozen"/>
      <selection pane="bottomLeft" activeCell="U11" sqref="A11:U14"/>
    </sheetView>
  </sheetViews>
  <sheetFormatPr defaultRowHeight="15"/>
  <cols>
    <col min="1" max="1" width="8.5703125" bestFit="1" customWidth="1"/>
    <col min="2" max="2" width="7.5703125" bestFit="1" customWidth="1"/>
    <col min="3" max="3" width="10.7109375" bestFit="1" customWidth="1"/>
    <col min="4" max="4" width="14.42578125" bestFit="1" customWidth="1"/>
    <col min="5" max="5" width="10.42578125" bestFit="1" customWidth="1"/>
    <col min="6" max="6" width="18.140625" bestFit="1" customWidth="1"/>
    <col min="7" max="7" width="13" bestFit="1" customWidth="1"/>
    <col min="8" max="8" width="10.7109375" bestFit="1" customWidth="1"/>
    <col min="9" max="9" width="6.28515625" customWidth="1"/>
    <col min="10" max="10" width="6.85546875" bestFit="1" customWidth="1"/>
    <col min="11" max="11" width="7.28515625" bestFit="1" customWidth="1"/>
    <col min="12" max="12" width="10.7109375" bestFit="1" customWidth="1"/>
    <col min="13" max="13" width="8.5703125" bestFit="1" customWidth="1"/>
    <col min="14" max="14" width="7.5703125" bestFit="1" customWidth="1"/>
    <col min="15" max="15" width="10.7109375" bestFit="1" customWidth="1"/>
    <col min="16" max="16" width="12" bestFit="1" customWidth="1"/>
    <col min="17" max="17" width="14.42578125" bestFit="1" customWidth="1"/>
    <col min="18" max="18" width="6.7109375" customWidth="1"/>
    <col min="19" max="19" width="10.42578125" bestFit="1" customWidth="1"/>
    <col min="20" max="20" width="18.140625" bestFit="1" customWidth="1"/>
    <col min="21" max="21" width="13" bestFit="1" customWidth="1"/>
    <col min="22" max="22" width="10.7109375" bestFit="1" customWidth="1"/>
    <col min="23" max="23" width="10.5703125" bestFit="1" customWidth="1"/>
    <col min="24" max="25" width="8.42578125" bestFit="1" customWidth="1"/>
    <col min="26" max="26" width="10.7109375" bestFit="1" customWidth="1"/>
    <col min="27" max="27" width="10.42578125" bestFit="1" customWidth="1"/>
    <col min="34" max="34" width="10.42578125" bestFit="1" customWidth="1"/>
  </cols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28</v>
      </c>
      <c r="J1" t="s">
        <v>29</v>
      </c>
      <c r="K1" t="s">
        <v>17</v>
      </c>
      <c r="L1" t="s">
        <v>22</v>
      </c>
      <c r="M1" t="s">
        <v>23</v>
      </c>
      <c r="N1" t="s">
        <v>24</v>
      </c>
      <c r="O1" t="s">
        <v>30</v>
      </c>
      <c r="P1" t="s">
        <v>27</v>
      </c>
      <c r="R1" s="20" t="s">
        <v>69</v>
      </c>
      <c r="S1" s="5">
        <v>45826</v>
      </c>
      <c r="T1" t="s">
        <v>15</v>
      </c>
      <c r="U1" s="2" t="s">
        <v>16</v>
      </c>
    </row>
    <row r="2" spans="1:21">
      <c r="A2" t="s">
        <v>107</v>
      </c>
      <c r="B2" t="s">
        <v>12</v>
      </c>
      <c r="C2">
        <v>140000050</v>
      </c>
      <c r="D2" s="1">
        <v>45339</v>
      </c>
      <c r="E2">
        <v>3965.75</v>
      </c>
      <c r="F2">
        <v>0</v>
      </c>
      <c r="G2">
        <v>700000068</v>
      </c>
      <c r="H2" s="1">
        <v>45352</v>
      </c>
      <c r="I2">
        <f>YEAR(Table1[[#This Row],[Posting Date]])</f>
        <v>2024</v>
      </c>
      <c r="J2">
        <f>MONTH(Table1[[#This Row],[Posting Date]])</f>
        <v>2</v>
      </c>
      <c r="K2" t="str">
        <f>IF(Table1[[#This Row],[Type]]="IN",VLOOKUP(Table1[[#This Row],[Cust '#]],ClientInfo!$A:$D,4,0),"")</f>
        <v>NET30</v>
      </c>
      <c r="L2" s="1">
        <f>IF(K2="NET30",Table1[[#This Row],[Posting Date]]+30,IF(K2="NET15",Table1[[#This Row],[Posting Date]]+15,IF(K2="COD",Table1[[#This Row],[Posting Date]],"")))</f>
        <v>45369</v>
      </c>
      <c r="M2" s="4">
        <f>IFERROR(IF(Table1[[#This Row],[Type]]="IN",Table1[[#This Row],[RC Date]]-Table1[[#This Row],[Posting Date]],""),"")</f>
        <v>13</v>
      </c>
      <c r="N2">
        <f>IFERROR(IF(Table1[[#This Row],[Balance Due (LC)]]&lt;&gt;0,$S$1-L2,0),"")</f>
        <v>0</v>
      </c>
      <c r="O2">
        <f>IFERROR(IF(Table1[[#This Row],[Type]]="IN",Table1[[#This Row],[C/D (LC)]],IF(Table1[[#This Row],[Type]]="CN",Table1[[#This Row],[C/D (LC)]],"")),"")</f>
        <v>3965.75</v>
      </c>
      <c r="P2" t="str">
        <f>VLOOKUP(Table1[[#This Row],[Cust '#]],ClientInfo!$A:$B,2,0)</f>
        <v>Client_01</v>
      </c>
    </row>
    <row r="3" spans="1:21">
      <c r="A3" t="s">
        <v>107</v>
      </c>
      <c r="B3" t="s">
        <v>10</v>
      </c>
      <c r="C3">
        <v>700000068</v>
      </c>
      <c r="D3" s="1">
        <v>45352</v>
      </c>
      <c r="E3">
        <v>-3965.75</v>
      </c>
      <c r="F3">
        <v>0</v>
      </c>
      <c r="G3">
        <v>700000068</v>
      </c>
      <c r="H3" s="1">
        <v>45352</v>
      </c>
      <c r="I3">
        <f>YEAR(Table1[[#This Row],[Posting Date]])</f>
        <v>2024</v>
      </c>
      <c r="J3">
        <f>MONTH(Table1[[#This Row],[Posting Date]])</f>
        <v>3</v>
      </c>
      <c r="K3" t="str">
        <f>IF(Table1[[#This Row],[Type]]="IN",VLOOKUP(Table1[[#This Row],[Cust '#]],ClientInfo!$A:$D,4,0),"")</f>
        <v/>
      </c>
      <c r="L3" s="1" t="str">
        <f>IF(K3="NET30",Table1[[#This Row],[Posting Date]]+30,IF(K3="NET15",Table1[[#This Row],[Posting Date]]+15,IF(K3="COD",Table1[[#This Row],[Posting Date]],"")))</f>
        <v/>
      </c>
      <c r="M3" s="4" t="str">
        <f>IFERROR(IF(Table1[[#This Row],[Type]]="IN",Table1[[#This Row],[RC Date]]-Table1[[#This Row],[Posting Date]],""),"")</f>
        <v/>
      </c>
      <c r="N3">
        <f>IFERROR(IF(Table1[[#This Row],[Balance Due (LC)]]&lt;&gt;0,$S$1-L3,0),"")</f>
        <v>0</v>
      </c>
      <c r="O3" t="str">
        <f>IFERROR(IF(Table1[[#This Row],[Type]]="IN",Table1[[#This Row],[C/D (LC)]],IF(Table1[[#This Row],[Type]]="CN",Table1[[#This Row],[C/D (LC)]],"")),"")</f>
        <v/>
      </c>
      <c r="P3" t="str">
        <f>VLOOKUP(Table1[[#This Row],[Cust '#]],ClientInfo!$A:$B,2,0)</f>
        <v>Client_01</v>
      </c>
    </row>
    <row r="4" spans="1:21">
      <c r="A4" t="s">
        <v>107</v>
      </c>
      <c r="B4" t="s">
        <v>12</v>
      </c>
      <c r="C4">
        <v>140004413</v>
      </c>
      <c r="D4" s="1">
        <v>45353</v>
      </c>
      <c r="E4">
        <v>3391</v>
      </c>
      <c r="F4">
        <v>0</v>
      </c>
      <c r="G4">
        <v>700000183</v>
      </c>
      <c r="H4" s="1">
        <v>45366</v>
      </c>
      <c r="I4">
        <f>YEAR(Table1[[#This Row],[Posting Date]])</f>
        <v>2024</v>
      </c>
      <c r="J4">
        <f>MONTH(Table1[[#This Row],[Posting Date]])</f>
        <v>3</v>
      </c>
      <c r="K4" t="str">
        <f>IF(Table1[[#This Row],[Type]]="IN",VLOOKUP(Table1[[#This Row],[Cust '#]],ClientInfo!$A:$D,4,0),"")</f>
        <v>NET30</v>
      </c>
      <c r="L4" s="1">
        <f>IF(K4="NET30",Table1[[#This Row],[Posting Date]]+30,IF(K4="NET15",Table1[[#This Row],[Posting Date]]+15,IF(K4="COD",Table1[[#This Row],[Posting Date]],"")))</f>
        <v>45383</v>
      </c>
      <c r="M4" s="4">
        <f>IFERROR(IF(Table1[[#This Row],[Type]]="IN",Table1[[#This Row],[RC Date]]-Table1[[#This Row],[Posting Date]],""),"")</f>
        <v>13</v>
      </c>
      <c r="N4">
        <f>IFERROR(IF(Table1[[#This Row],[Balance Due (LC)]]&lt;&gt;0,$S$1-L4,0),"")</f>
        <v>0</v>
      </c>
      <c r="O4">
        <f>IFERROR(IF(Table1[[#This Row],[Type]]="IN",Table1[[#This Row],[C/D (LC)]],IF(Table1[[#This Row],[Type]]="CN",Table1[[#This Row],[C/D (LC)]],"")),"")</f>
        <v>3391</v>
      </c>
      <c r="P4" t="str">
        <f>VLOOKUP(Table1[[#This Row],[Cust '#]],ClientInfo!$A:$B,2,0)</f>
        <v>Client_01</v>
      </c>
    </row>
    <row r="5" spans="1:21">
      <c r="A5" t="s">
        <v>107</v>
      </c>
      <c r="B5" t="s">
        <v>10</v>
      </c>
      <c r="C5">
        <v>700000183</v>
      </c>
      <c r="D5" s="1">
        <v>45366</v>
      </c>
      <c r="E5">
        <v>-3391</v>
      </c>
      <c r="F5">
        <v>0</v>
      </c>
      <c r="G5">
        <v>700000183</v>
      </c>
      <c r="H5" s="1">
        <v>45366</v>
      </c>
      <c r="I5">
        <f>YEAR(Table1[[#This Row],[Posting Date]])</f>
        <v>2024</v>
      </c>
      <c r="J5">
        <f>MONTH(Table1[[#This Row],[Posting Date]])</f>
        <v>3</v>
      </c>
      <c r="K5" t="str">
        <f>IF(Table1[[#This Row],[Type]]="IN",VLOOKUP(Table1[[#This Row],[Cust '#]],ClientInfo!$A:$D,4,0),"")</f>
        <v/>
      </c>
      <c r="L5" s="1" t="str">
        <f>IF(K5="NET30",Table1[[#This Row],[Posting Date]]+30,IF(K5="NET15",Table1[[#This Row],[Posting Date]]+15,IF(K5="COD",Table1[[#This Row],[Posting Date]],"")))</f>
        <v/>
      </c>
      <c r="M5" s="4" t="str">
        <f>IFERROR(IF(Table1[[#This Row],[Type]]="IN",Table1[[#This Row],[RC Date]]-Table1[[#This Row],[Posting Date]],""),"")</f>
        <v/>
      </c>
      <c r="N5">
        <f>IFERROR(IF(Table1[[#This Row],[Balance Due (LC)]]&lt;&gt;0,$S$1-L5,0),"")</f>
        <v>0</v>
      </c>
      <c r="O5" t="str">
        <f>IFERROR(IF(Table1[[#This Row],[Type]]="IN",Table1[[#This Row],[C/D (LC)]],IF(Table1[[#This Row],[Type]]="CN",Table1[[#This Row],[C/D (LC)]],"")),"")</f>
        <v/>
      </c>
      <c r="P5" t="str">
        <f>VLOOKUP(Table1[[#This Row],[Cust '#]],ClientInfo!$A:$B,2,0)</f>
        <v>Client_01</v>
      </c>
      <c r="Q5" t="str">
        <f>IFERROR(IF(#REF!&lt;&gt;0,$S$1-P5,0),"")</f>
        <v/>
      </c>
      <c r="R5" t="str">
        <f>IFERROR(IF(#REF!="IN",#REF!,IF(#REF!="CN",#REF!,"")),"")</f>
        <v/>
      </c>
    </row>
    <row r="6" spans="1:21">
      <c r="A6" t="s">
        <v>107</v>
      </c>
      <c r="B6" t="s">
        <v>12</v>
      </c>
      <c r="C6">
        <v>140005127</v>
      </c>
      <c r="D6" s="1">
        <v>45367</v>
      </c>
      <c r="E6">
        <v>2965.45</v>
      </c>
      <c r="F6">
        <v>0</v>
      </c>
      <c r="G6">
        <v>700000280</v>
      </c>
      <c r="H6" s="1">
        <v>45379</v>
      </c>
      <c r="I6">
        <f>YEAR(Table1[[#This Row],[Posting Date]])</f>
        <v>2024</v>
      </c>
      <c r="J6">
        <f>MONTH(Table1[[#This Row],[Posting Date]])</f>
        <v>3</v>
      </c>
      <c r="K6" t="str">
        <f>IF(Table1[[#This Row],[Type]]="IN",VLOOKUP(Table1[[#This Row],[Cust '#]],ClientInfo!$A:$D,4,0),"")</f>
        <v>NET30</v>
      </c>
      <c r="L6" s="1">
        <f>IF(K6="NET30",Table1[[#This Row],[Posting Date]]+30,IF(K6="NET15",Table1[[#This Row],[Posting Date]]+15,IF(K6="COD",Table1[[#This Row],[Posting Date]],"")))</f>
        <v>45397</v>
      </c>
      <c r="M6" s="4">
        <f>IFERROR(IF(Table1[[#This Row],[Type]]="IN",Table1[[#This Row],[RC Date]]-Table1[[#This Row],[Posting Date]],""),"")</f>
        <v>12</v>
      </c>
      <c r="N6">
        <f>IFERROR(IF(Table1[[#This Row],[Balance Due (LC)]]&lt;&gt;0,$S$1-L6,0),"")</f>
        <v>0</v>
      </c>
      <c r="O6">
        <f>IFERROR(IF(Table1[[#This Row],[Type]]="IN",Table1[[#This Row],[C/D (LC)]],IF(Table1[[#This Row],[Type]]="CN",Table1[[#This Row],[C/D (LC)]],"")),"")</f>
        <v>2965.45</v>
      </c>
      <c r="P6" t="str">
        <f>VLOOKUP(Table1[[#This Row],[Cust '#]],ClientInfo!$A:$B,2,0)</f>
        <v>Client_01</v>
      </c>
      <c r="Q6" t="str">
        <f>IFERROR(IF(#REF!&lt;&gt;0,$S$1-P6,0),"")</f>
        <v/>
      </c>
      <c r="R6" t="str">
        <f>IFERROR(IF(#REF!="IN",#REF!,IF(#REF!="CN",#REF!,"")),"")</f>
        <v/>
      </c>
    </row>
    <row r="7" spans="1:21">
      <c r="A7" t="s">
        <v>107</v>
      </c>
      <c r="B7" t="s">
        <v>13</v>
      </c>
      <c r="C7">
        <v>150000200</v>
      </c>
      <c r="D7" s="1">
        <v>45370</v>
      </c>
      <c r="E7">
        <v>-79.2</v>
      </c>
      <c r="F7">
        <v>0</v>
      </c>
      <c r="G7">
        <v>700000280</v>
      </c>
      <c r="H7" s="1">
        <v>45379</v>
      </c>
      <c r="I7">
        <f>YEAR(Table1[[#This Row],[Posting Date]])</f>
        <v>2024</v>
      </c>
      <c r="J7">
        <f>MONTH(Table1[[#This Row],[Posting Date]])</f>
        <v>3</v>
      </c>
      <c r="K7" t="str">
        <f>IF(Table1[[#This Row],[Type]]="IN",VLOOKUP(Table1[[#This Row],[Cust '#]],ClientInfo!$A:$D,4,0),"")</f>
        <v/>
      </c>
      <c r="L7" s="1" t="str">
        <f>IF(K7="NET30",Table1[[#This Row],[Posting Date]]+30,IF(K7="NET15",Table1[[#This Row],[Posting Date]]+15,IF(K7="COD",Table1[[#This Row],[Posting Date]],"")))</f>
        <v/>
      </c>
      <c r="M7" s="4" t="str">
        <f>IFERROR(IF(Table1[[#This Row],[Type]]="IN",Table1[[#This Row],[RC Date]]-Table1[[#This Row],[Posting Date]],""),"")</f>
        <v/>
      </c>
      <c r="N7">
        <f>IFERROR(IF(Table1[[#This Row],[Balance Due (LC)]]&lt;&gt;0,$S$1-L7,0),"")</f>
        <v>0</v>
      </c>
      <c r="O7">
        <f>IFERROR(IF(Table1[[#This Row],[Type]]="IN",Table1[[#This Row],[C/D (LC)]],IF(Table1[[#This Row],[Type]]="CN",Table1[[#This Row],[C/D (LC)]],"")),"")</f>
        <v>-79.2</v>
      </c>
      <c r="P7" t="str">
        <f>VLOOKUP(Table1[[#This Row],[Cust '#]],ClientInfo!$A:$B,2,0)</f>
        <v>Client_01</v>
      </c>
      <c r="Q7" t="str">
        <f>IFERROR(IF(#REF!&lt;&gt;0,$S$1-P7,0),"")</f>
        <v/>
      </c>
      <c r="R7" t="str">
        <f>IFERROR(IF(#REF!="IN",#REF!,IF(#REF!="CN",#REF!,"")),"")</f>
        <v/>
      </c>
    </row>
    <row r="8" spans="1:21">
      <c r="A8" t="s">
        <v>107</v>
      </c>
      <c r="B8" t="s">
        <v>10</v>
      </c>
      <c r="C8">
        <v>700000280</v>
      </c>
      <c r="D8" s="1">
        <v>45379</v>
      </c>
      <c r="E8">
        <v>-2886.25</v>
      </c>
      <c r="F8">
        <v>0</v>
      </c>
      <c r="G8">
        <v>700000280</v>
      </c>
      <c r="H8" s="1">
        <v>45379</v>
      </c>
      <c r="I8">
        <f>YEAR(Table1[[#This Row],[Posting Date]])</f>
        <v>2024</v>
      </c>
      <c r="J8">
        <f>MONTH(Table1[[#This Row],[Posting Date]])</f>
        <v>3</v>
      </c>
      <c r="K8" t="str">
        <f>IF(Table1[[#This Row],[Type]]="IN",VLOOKUP(Table1[[#This Row],[Cust '#]],ClientInfo!$A:$D,4,0),"")</f>
        <v/>
      </c>
      <c r="L8" s="1" t="str">
        <f>IF(K8="NET30",Table1[[#This Row],[Posting Date]]+30,IF(K8="NET15",Table1[[#This Row],[Posting Date]]+15,IF(K8="COD",Table1[[#This Row],[Posting Date]],"")))</f>
        <v/>
      </c>
      <c r="M8" s="4" t="str">
        <f>IFERROR(IF(Table1[[#This Row],[Type]]="IN",Table1[[#This Row],[RC Date]]-Table1[[#This Row],[Posting Date]],""),"")</f>
        <v/>
      </c>
      <c r="N8">
        <f>IFERROR(IF(Table1[[#This Row],[Balance Due (LC)]]&lt;&gt;0,$S$1-L8,0),"")</f>
        <v>0</v>
      </c>
      <c r="O8" t="str">
        <f>IFERROR(IF(Table1[[#This Row],[Type]]="IN",Table1[[#This Row],[C/D (LC)]],IF(Table1[[#This Row],[Type]]="CN",Table1[[#This Row],[C/D (LC)]],"")),"")</f>
        <v/>
      </c>
      <c r="P8" t="str">
        <f>VLOOKUP(Table1[[#This Row],[Cust '#]],ClientInfo!$A:$B,2,0)</f>
        <v>Client_01</v>
      </c>
      <c r="Q8" t="str">
        <f>IFERROR(IF(#REF!&lt;&gt;0,$S$1-P8,0),"")</f>
        <v/>
      </c>
      <c r="R8" t="str">
        <f>IFERROR(IF(#REF!="IN",#REF!,IF(#REF!="CN",#REF!,"")),"")</f>
        <v/>
      </c>
    </row>
    <row r="9" spans="1:21">
      <c r="A9" t="s">
        <v>107</v>
      </c>
      <c r="B9" t="s">
        <v>13</v>
      </c>
      <c r="C9">
        <v>150000243</v>
      </c>
      <c r="D9" s="1">
        <v>45380</v>
      </c>
      <c r="E9">
        <v>-146.4</v>
      </c>
      <c r="F9">
        <v>0</v>
      </c>
      <c r="G9">
        <v>700000395</v>
      </c>
      <c r="H9" s="1">
        <v>45394</v>
      </c>
      <c r="I9">
        <f>YEAR(Table1[[#This Row],[Posting Date]])</f>
        <v>2024</v>
      </c>
      <c r="J9">
        <f>MONTH(Table1[[#This Row],[Posting Date]])</f>
        <v>3</v>
      </c>
      <c r="K9" t="str">
        <f>IF(Table1[[#This Row],[Type]]="IN",VLOOKUP(Table1[[#This Row],[Cust '#]],ClientInfo!$A:$D,4,0),"")</f>
        <v/>
      </c>
      <c r="L9" s="1" t="str">
        <f>IF(K9="NET30",Table1[[#This Row],[Posting Date]]+30,IF(K9="NET15",Table1[[#This Row],[Posting Date]]+15,IF(K9="COD",Table1[[#This Row],[Posting Date]],"")))</f>
        <v/>
      </c>
      <c r="M9" s="4" t="str">
        <f>IFERROR(IF(Table1[[#This Row],[Type]]="IN",Table1[[#This Row],[RC Date]]-Table1[[#This Row],[Posting Date]],""),"")</f>
        <v/>
      </c>
      <c r="N9">
        <f>IFERROR(IF(Table1[[#This Row],[Balance Due (LC)]]&lt;&gt;0,$S$1-L9,0),"")</f>
        <v>0</v>
      </c>
      <c r="O9">
        <f>IFERROR(IF(Table1[[#This Row],[Type]]="IN",Table1[[#This Row],[C/D (LC)]],IF(Table1[[#This Row],[Type]]="CN",Table1[[#This Row],[C/D (LC)]],"")),"")</f>
        <v>-146.4</v>
      </c>
      <c r="P9" t="str">
        <f>VLOOKUP(Table1[[#This Row],[Cust '#]],ClientInfo!$A:$B,2,0)</f>
        <v>Client_01</v>
      </c>
      <c r="Q9" t="str">
        <f>IFERROR(IF(#REF!&lt;&gt;0,$S$1-P9,0),"")</f>
        <v/>
      </c>
      <c r="R9" t="str">
        <f>IFERROR(IF(#REF!="IN",#REF!,IF(#REF!="CN",#REF!,"")),"")</f>
        <v/>
      </c>
    </row>
    <row r="10" spans="1:21">
      <c r="A10" t="s">
        <v>107</v>
      </c>
      <c r="B10" t="s">
        <v>12</v>
      </c>
      <c r="C10">
        <v>140005740</v>
      </c>
      <c r="D10" s="1">
        <v>45381</v>
      </c>
      <c r="E10">
        <v>3416.75</v>
      </c>
      <c r="F10">
        <v>0</v>
      </c>
      <c r="G10">
        <v>700000395</v>
      </c>
      <c r="H10" s="1">
        <v>45394</v>
      </c>
      <c r="I10">
        <f>YEAR(Table1[[#This Row],[Posting Date]])</f>
        <v>2024</v>
      </c>
      <c r="J10">
        <f>MONTH(Table1[[#This Row],[Posting Date]])</f>
        <v>3</v>
      </c>
      <c r="K10" t="str">
        <f>IF(Table1[[#This Row],[Type]]="IN",VLOOKUP(Table1[[#This Row],[Cust '#]],ClientInfo!$A:$D,4,0),"")</f>
        <v>NET30</v>
      </c>
      <c r="L10" s="1">
        <f>IF(K10="NET30",Table1[[#This Row],[Posting Date]]+30,IF(K10="NET15",Table1[[#This Row],[Posting Date]]+15,IF(K10="COD",Table1[[#This Row],[Posting Date]],"")))</f>
        <v>45411</v>
      </c>
      <c r="M10" s="4">
        <f>IFERROR(IF(Table1[[#This Row],[Type]]="IN",Table1[[#This Row],[RC Date]]-Table1[[#This Row],[Posting Date]],""),"")</f>
        <v>13</v>
      </c>
      <c r="N10">
        <f>IFERROR(IF(Table1[[#This Row],[Balance Due (LC)]]&lt;&gt;0,$S$1-L10,0),"")</f>
        <v>0</v>
      </c>
      <c r="O10">
        <f>IFERROR(IF(Table1[[#This Row],[Type]]="IN",Table1[[#This Row],[C/D (LC)]],IF(Table1[[#This Row],[Type]]="CN",Table1[[#This Row],[C/D (LC)]],"")),"")</f>
        <v>3416.75</v>
      </c>
      <c r="P10" t="str">
        <f>VLOOKUP(Table1[[#This Row],[Cust '#]],ClientInfo!$A:$B,2,0)</f>
        <v>Client_01</v>
      </c>
      <c r="Q10" t="str">
        <f>IFERROR(IF(#REF!&lt;&gt;0,$S$1-P10,0),"")</f>
        <v/>
      </c>
      <c r="R10" t="str">
        <f>IFERROR(IF(#REF!="IN",#REF!,IF(#REF!="CN",#REF!,"")),"")</f>
        <v/>
      </c>
    </row>
    <row r="11" spans="1:21">
      <c r="A11" t="s">
        <v>107</v>
      </c>
      <c r="B11" t="s">
        <v>13</v>
      </c>
      <c r="C11">
        <v>150000259</v>
      </c>
      <c r="D11" s="1">
        <v>45394</v>
      </c>
      <c r="E11">
        <v>-31.2</v>
      </c>
      <c r="F11">
        <v>0</v>
      </c>
      <c r="G11">
        <v>700000517</v>
      </c>
      <c r="H11" s="1">
        <v>45412</v>
      </c>
      <c r="I11">
        <f>YEAR(Table1[[#This Row],[Posting Date]])</f>
        <v>2024</v>
      </c>
      <c r="J11">
        <f>MONTH(Table1[[#This Row],[Posting Date]])</f>
        <v>4</v>
      </c>
      <c r="K11" t="str">
        <f>IF(Table1[[#This Row],[Type]]="IN",VLOOKUP(Table1[[#This Row],[Cust '#]],ClientInfo!$A:$D,4,0),"")</f>
        <v/>
      </c>
      <c r="L11" s="1" t="str">
        <f>IF(K11="NET30",Table1[[#This Row],[Posting Date]]+30,IF(K11="NET15",Table1[[#This Row],[Posting Date]]+15,IF(K11="COD",Table1[[#This Row],[Posting Date]],"")))</f>
        <v/>
      </c>
      <c r="M11" s="4" t="str">
        <f>IFERROR(IF(Table1[[#This Row],[Type]]="IN",Table1[[#This Row],[RC Date]]-Table1[[#This Row],[Posting Date]],""),"")</f>
        <v/>
      </c>
      <c r="N11">
        <f>IFERROR(IF(Table1[[#This Row],[Balance Due (LC)]]&lt;&gt;0,$S$1-L11,0),"")</f>
        <v>0</v>
      </c>
      <c r="O11">
        <f>IFERROR(IF(Table1[[#This Row],[Type]]="IN",Table1[[#This Row],[C/D (LC)]],IF(Table1[[#This Row],[Type]]="CN",Table1[[#This Row],[C/D (LC)]],"")),"")</f>
        <v>-31.2</v>
      </c>
      <c r="P11" t="str">
        <f>VLOOKUP(Table1[[#This Row],[Cust '#]],ClientInfo!$A:$B,2,0)</f>
        <v>Client_01</v>
      </c>
      <c r="Q11" t="str">
        <f>IFERROR(IF(#REF!&lt;&gt;0,$S$1-P11,0),"")</f>
        <v/>
      </c>
      <c r="R11" t="str">
        <f>IFERROR(IF(#REF!="IN",#REF!,IF(#REF!="CN",#REF!,"")),"")</f>
        <v/>
      </c>
    </row>
    <row r="12" spans="1:21">
      <c r="A12" t="s">
        <v>107</v>
      </c>
      <c r="B12" t="s">
        <v>10</v>
      </c>
      <c r="C12">
        <v>700000395</v>
      </c>
      <c r="D12" s="1">
        <v>45394</v>
      </c>
      <c r="E12">
        <v>-3270.35</v>
      </c>
      <c r="F12">
        <v>0</v>
      </c>
      <c r="G12">
        <v>700000395</v>
      </c>
      <c r="H12" s="1">
        <v>45394</v>
      </c>
      <c r="I12">
        <f>YEAR(Table1[[#This Row],[Posting Date]])</f>
        <v>2024</v>
      </c>
      <c r="J12">
        <f>MONTH(Table1[[#This Row],[Posting Date]])</f>
        <v>4</v>
      </c>
      <c r="K12" t="str">
        <f>IF(Table1[[#This Row],[Type]]="IN",VLOOKUP(Table1[[#This Row],[Cust '#]],ClientInfo!$A:$D,4,0),"")</f>
        <v/>
      </c>
      <c r="L12" s="1" t="str">
        <f>IF(K12="NET30",Table1[[#This Row],[Posting Date]]+30,IF(K12="NET15",Table1[[#This Row],[Posting Date]]+15,IF(K12="COD",Table1[[#This Row],[Posting Date]],"")))</f>
        <v/>
      </c>
      <c r="M12" s="4" t="str">
        <f>IFERROR(IF(Table1[[#This Row],[Type]]="IN",Table1[[#This Row],[RC Date]]-Table1[[#This Row],[Posting Date]],""),"")</f>
        <v/>
      </c>
      <c r="N12">
        <f>IFERROR(IF(Table1[[#This Row],[Balance Due (LC)]]&lt;&gt;0,$S$1-L12,0),"")</f>
        <v>0</v>
      </c>
      <c r="O12" t="str">
        <f>IFERROR(IF(Table1[[#This Row],[Type]]="IN",Table1[[#This Row],[C/D (LC)]],IF(Table1[[#This Row],[Type]]="CN",Table1[[#This Row],[C/D (LC)]],"")),"")</f>
        <v/>
      </c>
      <c r="P12" t="str">
        <f>VLOOKUP(Table1[[#This Row],[Cust '#]],ClientInfo!$A:$B,2,0)</f>
        <v>Client_01</v>
      </c>
      <c r="Q12" t="str">
        <f>IFERROR(IF(#REF!&lt;&gt;0,$S$1-P12,0),"")</f>
        <v/>
      </c>
      <c r="R12" t="str">
        <f>IFERROR(IF(#REF!="IN",#REF!,IF(#REF!="CN",#REF!,"")),"")</f>
        <v/>
      </c>
    </row>
    <row r="13" spans="1:21">
      <c r="A13" t="s">
        <v>107</v>
      </c>
      <c r="B13" t="s">
        <v>12</v>
      </c>
      <c r="C13">
        <v>140006393</v>
      </c>
      <c r="D13" s="1">
        <v>45395</v>
      </c>
      <c r="E13">
        <v>3960.5</v>
      </c>
      <c r="F13">
        <v>0</v>
      </c>
      <c r="G13">
        <v>700000517</v>
      </c>
      <c r="H13" s="1">
        <v>45412</v>
      </c>
      <c r="I13">
        <f>YEAR(Table1[[#This Row],[Posting Date]])</f>
        <v>2024</v>
      </c>
      <c r="J13">
        <f>MONTH(Table1[[#This Row],[Posting Date]])</f>
        <v>4</v>
      </c>
      <c r="K13" t="str">
        <f>IF(Table1[[#This Row],[Type]]="IN",VLOOKUP(Table1[[#This Row],[Cust '#]],ClientInfo!$A:$D,4,0),"")</f>
        <v>NET30</v>
      </c>
      <c r="L13" s="1">
        <f>IF(K13="NET30",Table1[[#This Row],[Posting Date]]+30,IF(K13="NET15",Table1[[#This Row],[Posting Date]]+15,IF(K13="COD",Table1[[#This Row],[Posting Date]],"")))</f>
        <v>45425</v>
      </c>
      <c r="M13" s="4">
        <f>IFERROR(IF(Table1[[#This Row],[Type]]="IN",Table1[[#This Row],[RC Date]]-Table1[[#This Row],[Posting Date]],""),"")</f>
        <v>17</v>
      </c>
      <c r="N13">
        <f>IFERROR(IF(Table1[[#This Row],[Balance Due (LC)]]&lt;&gt;0,$S$1-L13,0),"")</f>
        <v>0</v>
      </c>
      <c r="O13">
        <f>IFERROR(IF(Table1[[#This Row],[Type]]="IN",Table1[[#This Row],[C/D (LC)]],IF(Table1[[#This Row],[Type]]="CN",Table1[[#This Row],[C/D (LC)]],"")),"")</f>
        <v>3960.5</v>
      </c>
      <c r="P13" t="str">
        <f>VLOOKUP(Table1[[#This Row],[Cust '#]],ClientInfo!$A:$B,2,0)</f>
        <v>Client_01</v>
      </c>
      <c r="Q13" t="str">
        <f>IFERROR(IF(#REF!&lt;&gt;0,$S$1-P13,0),"")</f>
        <v/>
      </c>
      <c r="R13" t="str">
        <f>IFERROR(IF(#REF!="IN",#REF!,IF(#REF!="CN",#REF!,"")),"")</f>
        <v/>
      </c>
    </row>
    <row r="14" spans="1:21">
      <c r="A14" t="s">
        <v>107</v>
      </c>
      <c r="B14" t="s">
        <v>13</v>
      </c>
      <c r="C14">
        <v>150000285</v>
      </c>
      <c r="D14" s="1">
        <v>45408</v>
      </c>
      <c r="E14">
        <v>-94.2</v>
      </c>
      <c r="F14">
        <v>0</v>
      </c>
      <c r="G14">
        <v>700000605</v>
      </c>
      <c r="H14" s="1">
        <v>45422</v>
      </c>
      <c r="I14">
        <f>YEAR(Table1[[#This Row],[Posting Date]])</f>
        <v>2024</v>
      </c>
      <c r="J14">
        <f>MONTH(Table1[[#This Row],[Posting Date]])</f>
        <v>4</v>
      </c>
      <c r="K14" t="str">
        <f>IF(Table1[[#This Row],[Type]]="IN",VLOOKUP(Table1[[#This Row],[Cust '#]],ClientInfo!$A:$D,4,0),"")</f>
        <v/>
      </c>
      <c r="L14" s="1" t="str">
        <f>IF(K14="NET30",Table1[[#This Row],[Posting Date]]+30,IF(K14="NET15",Table1[[#This Row],[Posting Date]]+15,IF(K14="COD",Table1[[#This Row],[Posting Date]],"")))</f>
        <v/>
      </c>
      <c r="M14" s="4" t="str">
        <f>IFERROR(IF(Table1[[#This Row],[Type]]="IN",Table1[[#This Row],[RC Date]]-Table1[[#This Row],[Posting Date]],""),"")</f>
        <v/>
      </c>
      <c r="N14">
        <f>IFERROR(IF(Table1[[#This Row],[Balance Due (LC)]]&lt;&gt;0,$S$1-L14,0),"")</f>
        <v>0</v>
      </c>
      <c r="O14">
        <f>IFERROR(IF(Table1[[#This Row],[Type]]="IN",Table1[[#This Row],[C/D (LC)]],IF(Table1[[#This Row],[Type]]="CN",Table1[[#This Row],[C/D (LC)]],"")),"")</f>
        <v>-94.2</v>
      </c>
      <c r="P14" t="str">
        <f>VLOOKUP(Table1[[#This Row],[Cust '#]],ClientInfo!$A:$B,2,0)</f>
        <v>Client_01</v>
      </c>
      <c r="Q14" t="str">
        <f>IFERROR(IF(#REF!&lt;&gt;0,$S$1-P14,0),"")</f>
        <v/>
      </c>
      <c r="R14" t="str">
        <f>IFERROR(IF(#REF!="IN",#REF!,IF(#REF!="CN",#REF!,"")),"")</f>
        <v/>
      </c>
    </row>
    <row r="15" spans="1:21">
      <c r="A15" t="s">
        <v>107</v>
      </c>
      <c r="B15" t="s">
        <v>12</v>
      </c>
      <c r="C15">
        <v>140007048</v>
      </c>
      <c r="D15" s="1">
        <v>45409</v>
      </c>
      <c r="E15">
        <v>2679.45</v>
      </c>
      <c r="F15">
        <v>0</v>
      </c>
      <c r="G15">
        <v>700000605</v>
      </c>
      <c r="H15" s="1">
        <v>45422</v>
      </c>
      <c r="I15">
        <f>YEAR(Table1[[#This Row],[Posting Date]])</f>
        <v>2024</v>
      </c>
      <c r="J15">
        <f>MONTH(Table1[[#This Row],[Posting Date]])</f>
        <v>4</v>
      </c>
      <c r="K15" t="str">
        <f>IF(Table1[[#This Row],[Type]]="IN",VLOOKUP(Table1[[#This Row],[Cust '#]],ClientInfo!$A:$D,4,0),"")</f>
        <v>NET30</v>
      </c>
      <c r="L15" s="1">
        <f>IF(K15="NET30",Table1[[#This Row],[Posting Date]]+30,IF(K15="NET15",Table1[[#This Row],[Posting Date]]+15,IF(K15="COD",Table1[[#This Row],[Posting Date]],"")))</f>
        <v>45439</v>
      </c>
      <c r="M15" s="4">
        <f>IFERROR(IF(Table1[[#This Row],[Type]]="IN",Table1[[#This Row],[RC Date]]-Table1[[#This Row],[Posting Date]],""),"")</f>
        <v>13</v>
      </c>
      <c r="N15">
        <f>IFERROR(IF(Table1[[#This Row],[Balance Due (LC)]]&lt;&gt;0,$S$1-L15,0),"")</f>
        <v>0</v>
      </c>
      <c r="O15">
        <f>IFERROR(IF(Table1[[#This Row],[Type]]="IN",Table1[[#This Row],[C/D (LC)]],IF(Table1[[#This Row],[Type]]="CN",Table1[[#This Row],[C/D (LC)]],"")),"")</f>
        <v>2679.45</v>
      </c>
      <c r="P15" t="str">
        <f>VLOOKUP(Table1[[#This Row],[Cust '#]],ClientInfo!$A:$B,2,0)</f>
        <v>Client_01</v>
      </c>
      <c r="Q15" t="str">
        <f>IFERROR(IF(#REF!&lt;&gt;0,$S$1-P15,0),"")</f>
        <v/>
      </c>
      <c r="R15" t="str">
        <f>IFERROR(IF(#REF!="IN",#REF!,IF(#REF!="CN",#REF!,"")),"")</f>
        <v/>
      </c>
    </row>
    <row r="16" spans="1:21">
      <c r="A16" t="s">
        <v>107</v>
      </c>
      <c r="B16" t="s">
        <v>10</v>
      </c>
      <c r="C16">
        <v>700000517</v>
      </c>
      <c r="D16" s="1">
        <v>45412</v>
      </c>
      <c r="E16">
        <v>-3929.3</v>
      </c>
      <c r="F16">
        <v>0</v>
      </c>
      <c r="G16">
        <v>700000517</v>
      </c>
      <c r="H16" s="1">
        <v>45412</v>
      </c>
      <c r="I16">
        <f>YEAR(Table1[[#This Row],[Posting Date]])</f>
        <v>2024</v>
      </c>
      <c r="J16">
        <f>MONTH(Table1[[#This Row],[Posting Date]])</f>
        <v>4</v>
      </c>
      <c r="K16" t="str">
        <f>IF(Table1[[#This Row],[Type]]="IN",VLOOKUP(Table1[[#This Row],[Cust '#]],ClientInfo!$A:$D,4,0),"")</f>
        <v/>
      </c>
      <c r="L16" s="1" t="str">
        <f>IF(K16="NET30",Table1[[#This Row],[Posting Date]]+30,IF(K16="NET15",Table1[[#This Row],[Posting Date]]+15,IF(K16="COD",Table1[[#This Row],[Posting Date]],"")))</f>
        <v/>
      </c>
      <c r="M16" s="4" t="str">
        <f>IFERROR(IF(Table1[[#This Row],[Type]]="IN",Table1[[#This Row],[RC Date]]-Table1[[#This Row],[Posting Date]],""),"")</f>
        <v/>
      </c>
      <c r="N16">
        <f>IFERROR(IF(Table1[[#This Row],[Balance Due (LC)]]&lt;&gt;0,$S$1-L16,0),"")</f>
        <v>0</v>
      </c>
      <c r="O16" t="str">
        <f>IFERROR(IF(Table1[[#This Row],[Type]]="IN",Table1[[#This Row],[C/D (LC)]],IF(Table1[[#This Row],[Type]]="CN",Table1[[#This Row],[C/D (LC)]],"")),"")</f>
        <v/>
      </c>
      <c r="P16" t="str">
        <f>VLOOKUP(Table1[[#This Row],[Cust '#]],ClientInfo!$A:$B,2,0)</f>
        <v>Client_01</v>
      </c>
      <c r="Q16" t="str">
        <f>IFERROR(IF(#REF!&lt;&gt;0,$S$1-P16,0),"")</f>
        <v/>
      </c>
      <c r="R16" t="str">
        <f>IFERROR(IF(#REF!="IN",#REF!,IF(#REF!="CN",#REF!,"")),"")</f>
        <v/>
      </c>
    </row>
    <row r="17" spans="1:18">
      <c r="A17" t="s">
        <v>107</v>
      </c>
      <c r="B17" t="s">
        <v>10</v>
      </c>
      <c r="C17">
        <v>700000605</v>
      </c>
      <c r="D17" s="1">
        <v>45422</v>
      </c>
      <c r="E17">
        <v>-2585.25</v>
      </c>
      <c r="F17">
        <v>0</v>
      </c>
      <c r="G17">
        <v>700000605</v>
      </c>
      <c r="H17" s="1">
        <v>45422</v>
      </c>
      <c r="I17">
        <f>YEAR(Table1[[#This Row],[Posting Date]])</f>
        <v>2024</v>
      </c>
      <c r="J17">
        <f>MONTH(Table1[[#This Row],[Posting Date]])</f>
        <v>5</v>
      </c>
      <c r="K17" t="str">
        <f>IF(Table1[[#This Row],[Type]]="IN",VLOOKUP(Table1[[#This Row],[Cust '#]],ClientInfo!$A:$D,4,0),"")</f>
        <v/>
      </c>
      <c r="L17" s="1" t="str">
        <f>IF(K17="NET30",Table1[[#This Row],[Posting Date]]+30,IF(K17="NET15",Table1[[#This Row],[Posting Date]]+15,IF(K17="COD",Table1[[#This Row],[Posting Date]],"")))</f>
        <v/>
      </c>
      <c r="M17" s="4" t="str">
        <f>IFERROR(IF(Table1[[#This Row],[Type]]="IN",Table1[[#This Row],[RC Date]]-Table1[[#This Row],[Posting Date]],""),"")</f>
        <v/>
      </c>
      <c r="N17">
        <f>IFERROR(IF(Table1[[#This Row],[Balance Due (LC)]]&lt;&gt;0,$S$1-L17,0),"")</f>
        <v>0</v>
      </c>
      <c r="O17" t="str">
        <f>IFERROR(IF(Table1[[#This Row],[Type]]="IN",Table1[[#This Row],[C/D (LC)]],IF(Table1[[#This Row],[Type]]="CN",Table1[[#This Row],[C/D (LC)]],"")),"")</f>
        <v/>
      </c>
      <c r="P17" t="str">
        <f>VLOOKUP(Table1[[#This Row],[Cust '#]],ClientInfo!$A:$B,2,0)</f>
        <v>Client_01</v>
      </c>
      <c r="Q17" t="str">
        <f>IFERROR(IF(#REF!&lt;&gt;0,$S$1-P17,0),"")</f>
        <v/>
      </c>
      <c r="R17" t="str">
        <f>IFERROR(IF(#REF!="IN",#REF!,IF(#REF!="CN",#REF!,"")),"")</f>
        <v/>
      </c>
    </row>
    <row r="18" spans="1:18">
      <c r="A18" t="s">
        <v>107</v>
      </c>
      <c r="B18" t="s">
        <v>12</v>
      </c>
      <c r="C18">
        <v>140007715</v>
      </c>
      <c r="D18" s="1">
        <v>45423</v>
      </c>
      <c r="E18">
        <v>3398.4</v>
      </c>
      <c r="F18">
        <v>0</v>
      </c>
      <c r="G18">
        <v>700000712</v>
      </c>
      <c r="H18" s="1">
        <v>45436</v>
      </c>
      <c r="I18">
        <f>YEAR(Table1[[#This Row],[Posting Date]])</f>
        <v>2024</v>
      </c>
      <c r="J18">
        <f>MONTH(Table1[[#This Row],[Posting Date]])</f>
        <v>5</v>
      </c>
      <c r="K18" t="str">
        <f>IF(Table1[[#This Row],[Type]]="IN",VLOOKUP(Table1[[#This Row],[Cust '#]],ClientInfo!$A:$D,4,0),"")</f>
        <v>NET30</v>
      </c>
      <c r="L18" s="1">
        <f>IF(K18="NET30",Table1[[#This Row],[Posting Date]]+30,IF(K18="NET15",Table1[[#This Row],[Posting Date]]+15,IF(K18="COD",Table1[[#This Row],[Posting Date]],"")))</f>
        <v>45453</v>
      </c>
      <c r="M18" s="4">
        <f>IFERROR(IF(Table1[[#This Row],[Type]]="IN",Table1[[#This Row],[RC Date]]-Table1[[#This Row],[Posting Date]],""),"")</f>
        <v>13</v>
      </c>
      <c r="N18">
        <f>IFERROR(IF(Table1[[#This Row],[Balance Due (LC)]]&lt;&gt;0,$S$1-L18,0),"")</f>
        <v>0</v>
      </c>
      <c r="O18">
        <f>IFERROR(IF(Table1[[#This Row],[Type]]="IN",Table1[[#This Row],[C/D (LC)]],IF(Table1[[#This Row],[Type]]="CN",Table1[[#This Row],[C/D (LC)]],"")),"")</f>
        <v>3398.4</v>
      </c>
      <c r="P18" t="str">
        <f>VLOOKUP(Table1[[#This Row],[Cust '#]],ClientInfo!$A:$B,2,0)</f>
        <v>Client_01</v>
      </c>
      <c r="Q18" t="str">
        <f>IFERROR(IF(#REF!&lt;&gt;0,$S$1-P18,0),"")</f>
        <v/>
      </c>
      <c r="R18" t="str">
        <f>IFERROR(IF(#REF!="IN",#REF!,IF(#REF!="CN",#REF!,"")),"")</f>
        <v/>
      </c>
    </row>
    <row r="19" spans="1:18">
      <c r="A19" t="s">
        <v>107</v>
      </c>
      <c r="B19" t="s">
        <v>10</v>
      </c>
      <c r="C19">
        <v>700000712</v>
      </c>
      <c r="D19" s="1">
        <v>45436</v>
      </c>
      <c r="E19">
        <v>-3398.4</v>
      </c>
      <c r="F19">
        <v>0</v>
      </c>
      <c r="G19">
        <v>700000712</v>
      </c>
      <c r="H19" s="1">
        <v>45436</v>
      </c>
      <c r="I19">
        <f>YEAR(Table1[[#This Row],[Posting Date]])</f>
        <v>2024</v>
      </c>
      <c r="J19">
        <f>MONTH(Table1[[#This Row],[Posting Date]])</f>
        <v>5</v>
      </c>
      <c r="K19" t="str">
        <f>IF(Table1[[#This Row],[Type]]="IN",VLOOKUP(Table1[[#This Row],[Cust '#]],ClientInfo!$A:$D,4,0),"")</f>
        <v/>
      </c>
      <c r="L19" s="1" t="str">
        <f>IF(K19="NET30",Table1[[#This Row],[Posting Date]]+30,IF(K19="NET15",Table1[[#This Row],[Posting Date]]+15,IF(K19="COD",Table1[[#This Row],[Posting Date]],"")))</f>
        <v/>
      </c>
      <c r="M19" s="4" t="str">
        <f>IFERROR(IF(Table1[[#This Row],[Type]]="IN",Table1[[#This Row],[RC Date]]-Table1[[#This Row],[Posting Date]],""),"")</f>
        <v/>
      </c>
      <c r="N19">
        <f>IFERROR(IF(Table1[[#This Row],[Balance Due (LC)]]&lt;&gt;0,$S$1-L19,0),"")</f>
        <v>0</v>
      </c>
      <c r="O19" t="str">
        <f>IFERROR(IF(Table1[[#This Row],[Type]]="IN",Table1[[#This Row],[C/D (LC)]],IF(Table1[[#This Row],[Type]]="CN",Table1[[#This Row],[C/D (LC)]],"")),"")</f>
        <v/>
      </c>
      <c r="P19" t="str">
        <f>VLOOKUP(Table1[[#This Row],[Cust '#]],ClientInfo!$A:$B,2,0)</f>
        <v>Client_01</v>
      </c>
      <c r="Q19" t="str">
        <f>IFERROR(IF(#REF!&lt;&gt;0,$S$1-P19,0),"")</f>
        <v/>
      </c>
      <c r="R19" t="str">
        <f>IFERROR(IF(#REF!="IN",#REF!,IF(#REF!="CN",#REF!,"")),"")</f>
        <v/>
      </c>
    </row>
    <row r="20" spans="1:18">
      <c r="A20" t="s">
        <v>107</v>
      </c>
      <c r="B20" t="s">
        <v>12</v>
      </c>
      <c r="C20">
        <v>140009015</v>
      </c>
      <c r="D20" s="1">
        <v>45451</v>
      </c>
      <c r="E20">
        <v>3872.5</v>
      </c>
      <c r="F20">
        <v>0</v>
      </c>
      <c r="G20">
        <v>700000971</v>
      </c>
      <c r="H20" s="1">
        <v>45470</v>
      </c>
      <c r="I20">
        <f>YEAR(Table1[[#This Row],[Posting Date]])</f>
        <v>2024</v>
      </c>
      <c r="J20">
        <f>MONTH(Table1[[#This Row],[Posting Date]])</f>
        <v>6</v>
      </c>
      <c r="K20" t="str">
        <f>IF(Table1[[#This Row],[Type]]="IN",VLOOKUP(Table1[[#This Row],[Cust '#]],ClientInfo!$A:$D,4,0),"")</f>
        <v>NET30</v>
      </c>
      <c r="L20" s="1">
        <f>IF(K20="NET30",Table1[[#This Row],[Posting Date]]+30,IF(K20="NET15",Table1[[#This Row],[Posting Date]]+15,IF(K20="COD",Table1[[#This Row],[Posting Date]],"")))</f>
        <v>45481</v>
      </c>
      <c r="M20" s="4">
        <f>IFERROR(IF(Table1[[#This Row],[Type]]="IN",Table1[[#This Row],[RC Date]]-Table1[[#This Row],[Posting Date]],""),"")</f>
        <v>19</v>
      </c>
      <c r="N20">
        <f>IFERROR(IF(Table1[[#This Row],[Balance Due (LC)]]&lt;&gt;0,$S$1-L20,0),"")</f>
        <v>0</v>
      </c>
      <c r="O20">
        <f>IFERROR(IF(Table1[[#This Row],[Type]]="IN",Table1[[#This Row],[C/D (LC)]],IF(Table1[[#This Row],[Type]]="CN",Table1[[#This Row],[C/D (LC)]],"")),"")</f>
        <v>3872.5</v>
      </c>
      <c r="P20" t="str">
        <f>VLOOKUP(Table1[[#This Row],[Cust '#]],ClientInfo!$A:$B,2,0)</f>
        <v>Client_01</v>
      </c>
      <c r="Q20" t="str">
        <f>IFERROR(IF(#REF!&lt;&gt;0,$S$1-P20,0),"")</f>
        <v/>
      </c>
      <c r="R20" t="str">
        <f>IFERROR(IF(#REF!="IN",#REF!,IF(#REF!="CN",#REF!,"")),"")</f>
        <v/>
      </c>
    </row>
    <row r="21" spans="1:18">
      <c r="A21" t="s">
        <v>107</v>
      </c>
      <c r="B21" t="s">
        <v>12</v>
      </c>
      <c r="C21">
        <v>140009322</v>
      </c>
      <c r="D21" s="1">
        <v>45458</v>
      </c>
      <c r="E21">
        <v>1098.3</v>
      </c>
      <c r="F21">
        <v>0</v>
      </c>
      <c r="G21">
        <v>700000971</v>
      </c>
      <c r="H21" s="1">
        <v>45470</v>
      </c>
      <c r="I21">
        <f>YEAR(Table1[[#This Row],[Posting Date]])</f>
        <v>2024</v>
      </c>
      <c r="J21">
        <f>MONTH(Table1[[#This Row],[Posting Date]])</f>
        <v>6</v>
      </c>
      <c r="K21" t="str">
        <f>IF(Table1[[#This Row],[Type]]="IN",VLOOKUP(Table1[[#This Row],[Cust '#]],ClientInfo!$A:$D,4,0),"")</f>
        <v>NET30</v>
      </c>
      <c r="L21" s="1">
        <f>IF(K21="NET30",Table1[[#This Row],[Posting Date]]+30,IF(K21="NET15",Table1[[#This Row],[Posting Date]]+15,IF(K21="COD",Table1[[#This Row],[Posting Date]],"")))</f>
        <v>45488</v>
      </c>
      <c r="M21" s="4">
        <f>IFERROR(IF(Table1[[#This Row],[Type]]="IN",Table1[[#This Row],[RC Date]]-Table1[[#This Row],[Posting Date]],""),"")</f>
        <v>12</v>
      </c>
      <c r="N21">
        <f>IFERROR(IF(Table1[[#This Row],[Balance Due (LC)]]&lt;&gt;0,$S$1-L21,0),"")</f>
        <v>0</v>
      </c>
      <c r="O21">
        <f>IFERROR(IF(Table1[[#This Row],[Type]]="IN",Table1[[#This Row],[C/D (LC)]],IF(Table1[[#This Row],[Type]]="CN",Table1[[#This Row],[C/D (LC)]],"")),"")</f>
        <v>1098.3</v>
      </c>
      <c r="P21" t="str">
        <f>VLOOKUP(Table1[[#This Row],[Cust '#]],ClientInfo!$A:$B,2,0)</f>
        <v>Client_01</v>
      </c>
      <c r="Q21" t="str">
        <f>IFERROR(IF(#REF!&lt;&gt;0,$S$1-P21,0),"")</f>
        <v/>
      </c>
      <c r="R21" t="str">
        <f>IFERROR(IF(#REF!="IN",#REF!,IF(#REF!="CN",#REF!,"")),"")</f>
        <v/>
      </c>
    </row>
    <row r="22" spans="1:18">
      <c r="A22" t="s">
        <v>107</v>
      </c>
      <c r="B22" t="s">
        <v>12</v>
      </c>
      <c r="C22">
        <v>140009344</v>
      </c>
      <c r="D22" s="1">
        <v>45458</v>
      </c>
      <c r="E22">
        <v>150</v>
      </c>
      <c r="F22">
        <v>0</v>
      </c>
      <c r="G22">
        <v>700000971</v>
      </c>
      <c r="H22" s="1">
        <v>45470</v>
      </c>
      <c r="I22">
        <f>YEAR(Table1[[#This Row],[Posting Date]])</f>
        <v>2024</v>
      </c>
      <c r="J22">
        <f>MONTH(Table1[[#This Row],[Posting Date]])</f>
        <v>6</v>
      </c>
      <c r="K22" t="str">
        <f>IF(Table1[[#This Row],[Type]]="IN",VLOOKUP(Table1[[#This Row],[Cust '#]],ClientInfo!$A:$D,4,0),"")</f>
        <v>NET30</v>
      </c>
      <c r="L22" s="1">
        <f>IF(K22="NET30",Table1[[#This Row],[Posting Date]]+30,IF(K22="NET15",Table1[[#This Row],[Posting Date]]+15,IF(K22="COD",Table1[[#This Row],[Posting Date]],"")))</f>
        <v>45488</v>
      </c>
      <c r="M22" s="4">
        <f>IFERROR(IF(Table1[[#This Row],[Type]]="IN",Table1[[#This Row],[RC Date]]-Table1[[#This Row],[Posting Date]],""),"")</f>
        <v>12</v>
      </c>
      <c r="N22">
        <f>IFERROR(IF(Table1[[#This Row],[Balance Due (LC)]]&lt;&gt;0,$S$1-L22,0),"")</f>
        <v>0</v>
      </c>
      <c r="O22">
        <f>IFERROR(IF(Table1[[#This Row],[Type]]="IN",Table1[[#This Row],[C/D (LC)]],IF(Table1[[#This Row],[Type]]="CN",Table1[[#This Row],[C/D (LC)]],"")),"")</f>
        <v>150</v>
      </c>
      <c r="P22" t="str">
        <f>VLOOKUP(Table1[[#This Row],[Cust '#]],ClientInfo!$A:$B,2,0)</f>
        <v>Client_01</v>
      </c>
      <c r="Q22" t="str">
        <f>IFERROR(IF(#REF!&lt;&gt;0,$S$1-P22,0),"")</f>
        <v/>
      </c>
      <c r="R22" t="str">
        <f>IFERROR(IF(#REF!="IN",#REF!,IF(#REF!="CN",#REF!,"")),"")</f>
        <v/>
      </c>
    </row>
    <row r="23" spans="1:18">
      <c r="A23" t="s">
        <v>107</v>
      </c>
      <c r="B23" t="s">
        <v>13</v>
      </c>
      <c r="C23">
        <v>150000410</v>
      </c>
      <c r="D23" s="1">
        <v>45464</v>
      </c>
      <c r="E23">
        <v>-122</v>
      </c>
      <c r="F23">
        <v>0</v>
      </c>
      <c r="G23">
        <v>700000971</v>
      </c>
      <c r="H23" s="1">
        <v>45470</v>
      </c>
      <c r="I23">
        <f>YEAR(Table1[[#This Row],[Posting Date]])</f>
        <v>2024</v>
      </c>
      <c r="J23">
        <f>MONTH(Table1[[#This Row],[Posting Date]])</f>
        <v>6</v>
      </c>
      <c r="K23" t="str">
        <f>IF(Table1[[#This Row],[Type]]="IN",VLOOKUP(Table1[[#This Row],[Cust '#]],ClientInfo!$A:$D,4,0),"")</f>
        <v/>
      </c>
      <c r="L23" s="1" t="str">
        <f>IF(K23="NET30",Table1[[#This Row],[Posting Date]]+30,IF(K23="NET15",Table1[[#This Row],[Posting Date]]+15,IF(K23="COD",Table1[[#This Row],[Posting Date]],"")))</f>
        <v/>
      </c>
      <c r="M23" s="4" t="str">
        <f>IFERROR(IF(Table1[[#This Row],[Type]]="IN",Table1[[#This Row],[RC Date]]-Table1[[#This Row],[Posting Date]],""),"")</f>
        <v/>
      </c>
      <c r="N23">
        <f>IFERROR(IF(Table1[[#This Row],[Balance Due (LC)]]&lt;&gt;0,$S$1-L23,0),"")</f>
        <v>0</v>
      </c>
      <c r="O23">
        <f>IFERROR(IF(Table1[[#This Row],[Type]]="IN",Table1[[#This Row],[C/D (LC)]],IF(Table1[[#This Row],[Type]]="CN",Table1[[#This Row],[C/D (LC)]],"")),"")</f>
        <v>-122</v>
      </c>
      <c r="P23" t="str">
        <f>VLOOKUP(Table1[[#This Row],[Cust '#]],ClientInfo!$A:$B,2,0)</f>
        <v>Client_01</v>
      </c>
      <c r="Q23" t="str">
        <f>IFERROR(IF(#REF!&lt;&gt;0,$S$1-P23,0),"")</f>
        <v/>
      </c>
      <c r="R23" t="str">
        <f>IFERROR(IF(#REF!="IN",#REF!,IF(#REF!="CN",#REF!,"")),"")</f>
        <v/>
      </c>
    </row>
    <row r="24" spans="1:18">
      <c r="A24" t="s">
        <v>107</v>
      </c>
      <c r="B24" t="s">
        <v>12</v>
      </c>
      <c r="C24">
        <v>140009627</v>
      </c>
      <c r="D24" s="1">
        <v>45465</v>
      </c>
      <c r="E24">
        <v>3330.7</v>
      </c>
      <c r="F24">
        <v>0</v>
      </c>
      <c r="G24">
        <v>700000971</v>
      </c>
      <c r="H24" s="1">
        <v>45470</v>
      </c>
      <c r="I24">
        <f>YEAR(Table1[[#This Row],[Posting Date]])</f>
        <v>2024</v>
      </c>
      <c r="J24">
        <f>MONTH(Table1[[#This Row],[Posting Date]])</f>
        <v>6</v>
      </c>
      <c r="K24" t="str">
        <f>IF(Table1[[#This Row],[Type]]="IN",VLOOKUP(Table1[[#This Row],[Cust '#]],ClientInfo!$A:$D,4,0),"")</f>
        <v>NET30</v>
      </c>
      <c r="L24" s="1">
        <f>IF(K24="NET30",Table1[[#This Row],[Posting Date]]+30,IF(K24="NET15",Table1[[#This Row],[Posting Date]]+15,IF(K24="COD",Table1[[#This Row],[Posting Date]],"")))</f>
        <v>45495</v>
      </c>
      <c r="M24" s="4">
        <f>IFERROR(IF(Table1[[#This Row],[Type]]="IN",Table1[[#This Row],[RC Date]]-Table1[[#This Row],[Posting Date]],""),"")</f>
        <v>5</v>
      </c>
      <c r="N24">
        <f>IFERROR(IF(Table1[[#This Row],[Balance Due (LC)]]&lt;&gt;0,$S$1-L24,0),"")</f>
        <v>0</v>
      </c>
      <c r="O24">
        <f>IFERROR(IF(Table1[[#This Row],[Type]]="IN",Table1[[#This Row],[C/D (LC)]],IF(Table1[[#This Row],[Type]]="CN",Table1[[#This Row],[C/D (LC)]],"")),"")</f>
        <v>3330.7</v>
      </c>
      <c r="P24" t="str">
        <f>VLOOKUP(Table1[[#This Row],[Cust '#]],ClientInfo!$A:$B,2,0)</f>
        <v>Client_01</v>
      </c>
      <c r="Q24" t="str">
        <f>IFERROR(IF(#REF!&lt;&gt;0,$S$1-P24,0),"")</f>
        <v/>
      </c>
      <c r="R24" t="str">
        <f>IFERROR(IF(#REF!="IN",#REF!,IF(#REF!="CN",#REF!,"")),"")</f>
        <v/>
      </c>
    </row>
    <row r="25" spans="1:18">
      <c r="A25" t="s">
        <v>107</v>
      </c>
      <c r="B25" t="s">
        <v>10</v>
      </c>
      <c r="C25">
        <v>700000971</v>
      </c>
      <c r="D25" s="1">
        <v>45470</v>
      </c>
      <c r="E25">
        <v>-8329.5</v>
      </c>
      <c r="F25">
        <v>0</v>
      </c>
      <c r="G25">
        <v>700000971</v>
      </c>
      <c r="H25" s="1">
        <v>45470</v>
      </c>
      <c r="I25">
        <f>YEAR(Table1[[#This Row],[Posting Date]])</f>
        <v>2024</v>
      </c>
      <c r="J25">
        <f>MONTH(Table1[[#This Row],[Posting Date]])</f>
        <v>6</v>
      </c>
      <c r="K25" t="str">
        <f>IF(Table1[[#This Row],[Type]]="IN",VLOOKUP(Table1[[#This Row],[Cust '#]],ClientInfo!$A:$D,4,0),"")</f>
        <v/>
      </c>
      <c r="L25" s="1" t="str">
        <f>IF(K25="NET30",Table1[[#This Row],[Posting Date]]+30,IF(K25="NET15",Table1[[#This Row],[Posting Date]]+15,IF(K25="COD",Table1[[#This Row],[Posting Date]],"")))</f>
        <v/>
      </c>
      <c r="M25" s="4" t="str">
        <f>IFERROR(IF(Table1[[#This Row],[Type]]="IN",Table1[[#This Row],[RC Date]]-Table1[[#This Row],[Posting Date]],""),"")</f>
        <v/>
      </c>
      <c r="N25">
        <f>IFERROR(IF(Table1[[#This Row],[Balance Due (LC)]]&lt;&gt;0,$S$1-L25,0),"")</f>
        <v>0</v>
      </c>
      <c r="O25" t="str">
        <f>IFERROR(IF(Table1[[#This Row],[Type]]="IN",Table1[[#This Row],[C/D (LC)]],IF(Table1[[#This Row],[Type]]="CN",Table1[[#This Row],[C/D (LC)]],"")),"")</f>
        <v/>
      </c>
      <c r="P25" t="str">
        <f>VLOOKUP(Table1[[#This Row],[Cust '#]],ClientInfo!$A:$B,2,0)</f>
        <v>Client_01</v>
      </c>
      <c r="Q25" t="str">
        <f>IFERROR(IF(#REF!&lt;&gt;0,$S$1-P25,0),"")</f>
        <v/>
      </c>
      <c r="R25" t="str">
        <f>IFERROR(IF(#REF!="IN",#REF!,IF(#REF!="CN",#REF!,"")),"")</f>
        <v/>
      </c>
    </row>
    <row r="26" spans="1:18">
      <c r="A26" t="s">
        <v>107</v>
      </c>
      <c r="B26" t="s">
        <v>12</v>
      </c>
      <c r="C26">
        <v>140010290</v>
      </c>
      <c r="D26" s="1">
        <v>45479</v>
      </c>
      <c r="E26">
        <v>3264.9</v>
      </c>
      <c r="F26">
        <v>0</v>
      </c>
      <c r="G26">
        <v>700001088</v>
      </c>
      <c r="H26" s="1">
        <v>45484</v>
      </c>
      <c r="I26">
        <f>YEAR(Table1[[#This Row],[Posting Date]])</f>
        <v>2024</v>
      </c>
      <c r="J26">
        <f>MONTH(Table1[[#This Row],[Posting Date]])</f>
        <v>7</v>
      </c>
      <c r="K26" t="str">
        <f>IF(Table1[[#This Row],[Type]]="IN",VLOOKUP(Table1[[#This Row],[Cust '#]],ClientInfo!$A:$D,4,0),"")</f>
        <v>NET30</v>
      </c>
      <c r="L26" s="1">
        <f>IF(K26="NET30",Table1[[#This Row],[Posting Date]]+30,IF(K26="NET15",Table1[[#This Row],[Posting Date]]+15,IF(K26="COD",Table1[[#This Row],[Posting Date]],"")))</f>
        <v>45509</v>
      </c>
      <c r="M26" s="4">
        <f>IFERROR(IF(Table1[[#This Row],[Type]]="IN",Table1[[#This Row],[RC Date]]-Table1[[#This Row],[Posting Date]],""),"")</f>
        <v>5</v>
      </c>
      <c r="N26">
        <f>IFERROR(IF(Table1[[#This Row],[Balance Due (LC)]]&lt;&gt;0,$S$1-L26,0),"")</f>
        <v>0</v>
      </c>
      <c r="O26">
        <f>IFERROR(IF(Table1[[#This Row],[Type]]="IN",Table1[[#This Row],[C/D (LC)]],IF(Table1[[#This Row],[Type]]="CN",Table1[[#This Row],[C/D (LC)]],"")),"")</f>
        <v>3264.9</v>
      </c>
      <c r="P26" t="str">
        <f>VLOOKUP(Table1[[#This Row],[Cust '#]],ClientInfo!$A:$B,2,0)</f>
        <v>Client_01</v>
      </c>
      <c r="Q26" t="str">
        <f>IFERROR(IF(#REF!&lt;&gt;0,$S$1-P26,0),"")</f>
        <v/>
      </c>
      <c r="R26" t="str">
        <f>IFERROR(IF(#REF!="IN",#REF!,IF(#REF!="CN",#REF!,"")),"")</f>
        <v/>
      </c>
    </row>
    <row r="27" spans="1:18">
      <c r="A27" t="s">
        <v>107</v>
      </c>
      <c r="B27" t="s">
        <v>10</v>
      </c>
      <c r="C27">
        <v>700001088</v>
      </c>
      <c r="D27" s="1">
        <v>45484</v>
      </c>
      <c r="E27">
        <v>-3264.9</v>
      </c>
      <c r="F27">
        <v>0</v>
      </c>
      <c r="G27">
        <v>700001088</v>
      </c>
      <c r="H27" s="1">
        <v>45484</v>
      </c>
      <c r="I27">
        <f>YEAR(Table1[[#This Row],[Posting Date]])</f>
        <v>2024</v>
      </c>
      <c r="J27">
        <f>MONTH(Table1[[#This Row],[Posting Date]])</f>
        <v>7</v>
      </c>
      <c r="K27" t="str">
        <f>IF(Table1[[#This Row],[Type]]="IN",VLOOKUP(Table1[[#This Row],[Cust '#]],ClientInfo!$A:$D,4,0),"")</f>
        <v/>
      </c>
      <c r="L27" s="1" t="str">
        <f>IF(K27="NET30",Table1[[#This Row],[Posting Date]]+30,IF(K27="NET15",Table1[[#This Row],[Posting Date]]+15,IF(K27="COD",Table1[[#This Row],[Posting Date]],"")))</f>
        <v/>
      </c>
      <c r="M27" s="4" t="str">
        <f>IFERROR(IF(Table1[[#This Row],[Type]]="IN",Table1[[#This Row],[RC Date]]-Table1[[#This Row],[Posting Date]],""),"")</f>
        <v/>
      </c>
      <c r="N27">
        <f>IFERROR(IF(Table1[[#This Row],[Balance Due (LC)]]&lt;&gt;0,$S$1-L27,0),"")</f>
        <v>0</v>
      </c>
      <c r="O27" t="str">
        <f>IFERROR(IF(Table1[[#This Row],[Type]]="IN",Table1[[#This Row],[C/D (LC)]],IF(Table1[[#This Row],[Type]]="CN",Table1[[#This Row],[C/D (LC)]],"")),"")</f>
        <v/>
      </c>
      <c r="P27" t="str">
        <f>VLOOKUP(Table1[[#This Row],[Cust '#]],ClientInfo!$A:$B,2,0)</f>
        <v>Client_01</v>
      </c>
      <c r="Q27" t="str">
        <f>IFERROR(IF(#REF!&lt;&gt;0,$S$1-P27,0),"")</f>
        <v/>
      </c>
      <c r="R27" t="str">
        <f>IFERROR(IF(#REF!="IN",#REF!,IF(#REF!="CN",#REF!,"")),"")</f>
        <v/>
      </c>
    </row>
    <row r="28" spans="1:18">
      <c r="A28" t="s">
        <v>107</v>
      </c>
      <c r="B28" t="s">
        <v>12</v>
      </c>
      <c r="C28">
        <v>140011233</v>
      </c>
      <c r="D28" s="1">
        <v>45500</v>
      </c>
      <c r="E28">
        <v>3094.3</v>
      </c>
      <c r="F28">
        <v>0</v>
      </c>
      <c r="G28">
        <v>700001303</v>
      </c>
      <c r="H28" s="1">
        <v>45513</v>
      </c>
      <c r="I28">
        <f>YEAR(Table1[[#This Row],[Posting Date]])</f>
        <v>2024</v>
      </c>
      <c r="J28">
        <f>MONTH(Table1[[#This Row],[Posting Date]])</f>
        <v>7</v>
      </c>
      <c r="K28" t="str">
        <f>IF(Table1[[#This Row],[Type]]="IN",VLOOKUP(Table1[[#This Row],[Cust '#]],ClientInfo!$A:$D,4,0),"")</f>
        <v>NET30</v>
      </c>
      <c r="L28" s="1">
        <f>IF(K28="NET30",Table1[[#This Row],[Posting Date]]+30,IF(K28="NET15",Table1[[#This Row],[Posting Date]]+15,IF(K28="COD",Table1[[#This Row],[Posting Date]],"")))</f>
        <v>45530</v>
      </c>
      <c r="M28" s="4">
        <f>IFERROR(IF(Table1[[#This Row],[Type]]="IN",Table1[[#This Row],[RC Date]]-Table1[[#This Row],[Posting Date]],""),"")</f>
        <v>13</v>
      </c>
      <c r="N28">
        <f>IFERROR(IF(Table1[[#This Row],[Balance Due (LC)]]&lt;&gt;0,$S$1-L28,0),"")</f>
        <v>0</v>
      </c>
      <c r="O28">
        <f>IFERROR(IF(Table1[[#This Row],[Type]]="IN",Table1[[#This Row],[C/D (LC)]],IF(Table1[[#This Row],[Type]]="CN",Table1[[#This Row],[C/D (LC)]],"")),"")</f>
        <v>3094.3</v>
      </c>
      <c r="P28" t="str">
        <f>VLOOKUP(Table1[[#This Row],[Cust '#]],ClientInfo!$A:$B,2,0)</f>
        <v>Client_01</v>
      </c>
      <c r="Q28" t="str">
        <f>IFERROR(IF(#REF!&lt;&gt;0,$S$1-P28,0),"")</f>
        <v/>
      </c>
      <c r="R28" t="str">
        <f>IFERROR(IF(#REF!="IN",#REF!,IF(#REF!="CN",#REF!,"")),"")</f>
        <v/>
      </c>
    </row>
    <row r="29" spans="1:18">
      <c r="A29" t="s">
        <v>107</v>
      </c>
      <c r="B29" t="s">
        <v>13</v>
      </c>
      <c r="C29">
        <v>150000484</v>
      </c>
      <c r="D29" s="1">
        <v>45503</v>
      </c>
      <c r="E29">
        <v>-390</v>
      </c>
      <c r="F29">
        <v>0</v>
      </c>
      <c r="G29">
        <v>700001303</v>
      </c>
      <c r="H29" s="1">
        <v>45513</v>
      </c>
      <c r="I29">
        <f>YEAR(Table1[[#This Row],[Posting Date]])</f>
        <v>2024</v>
      </c>
      <c r="J29">
        <f>MONTH(Table1[[#This Row],[Posting Date]])</f>
        <v>7</v>
      </c>
      <c r="K29" t="str">
        <f>IF(Table1[[#This Row],[Type]]="IN",VLOOKUP(Table1[[#This Row],[Cust '#]],ClientInfo!$A:$D,4,0),"")</f>
        <v/>
      </c>
      <c r="L29" s="1" t="str">
        <f>IF(K29="NET30",Table1[[#This Row],[Posting Date]]+30,IF(K29="NET15",Table1[[#This Row],[Posting Date]]+15,IF(K29="COD",Table1[[#This Row],[Posting Date]],"")))</f>
        <v/>
      </c>
      <c r="M29" s="4" t="str">
        <f>IFERROR(IF(Table1[[#This Row],[Type]]="IN",Table1[[#This Row],[RC Date]]-Table1[[#This Row],[Posting Date]],""),"")</f>
        <v/>
      </c>
      <c r="N29">
        <f>IFERROR(IF(Table1[[#This Row],[Balance Due (LC)]]&lt;&gt;0,$S$1-L29,0),"")</f>
        <v>0</v>
      </c>
      <c r="O29">
        <f>IFERROR(IF(Table1[[#This Row],[Type]]="IN",Table1[[#This Row],[C/D (LC)]],IF(Table1[[#This Row],[Type]]="CN",Table1[[#This Row],[C/D (LC)]],"")),"")</f>
        <v>-390</v>
      </c>
      <c r="P29" t="str">
        <f>VLOOKUP(Table1[[#This Row],[Cust '#]],ClientInfo!$A:$B,2,0)</f>
        <v>Client_01</v>
      </c>
      <c r="Q29" t="str">
        <f>IFERROR(IF(#REF!&lt;&gt;0,$S$1-P29,0),"")</f>
        <v/>
      </c>
      <c r="R29" t="str">
        <f>IFERROR(IF(#REF!="IN",#REF!,IF(#REF!="CN",#REF!,"")),"")</f>
        <v/>
      </c>
    </row>
    <row r="30" spans="1:18">
      <c r="A30" t="s">
        <v>107</v>
      </c>
      <c r="B30" t="s">
        <v>10</v>
      </c>
      <c r="C30">
        <v>700001303</v>
      </c>
      <c r="D30" s="1">
        <v>45513</v>
      </c>
      <c r="E30">
        <v>-2704.3</v>
      </c>
      <c r="F30">
        <v>0</v>
      </c>
      <c r="G30">
        <v>700001303</v>
      </c>
      <c r="H30" s="1">
        <v>45513</v>
      </c>
      <c r="I30">
        <f>YEAR(Table1[[#This Row],[Posting Date]])</f>
        <v>2024</v>
      </c>
      <c r="J30">
        <f>MONTH(Table1[[#This Row],[Posting Date]])</f>
        <v>8</v>
      </c>
      <c r="K30" t="str">
        <f>IF(Table1[[#This Row],[Type]]="IN",VLOOKUP(Table1[[#This Row],[Cust '#]],ClientInfo!$A:$D,4,0),"")</f>
        <v/>
      </c>
      <c r="L30" s="1" t="str">
        <f>IF(K30="NET30",Table1[[#This Row],[Posting Date]]+30,IF(K30="NET15",Table1[[#This Row],[Posting Date]]+15,IF(K30="COD",Table1[[#This Row],[Posting Date]],"")))</f>
        <v/>
      </c>
      <c r="M30" s="4" t="str">
        <f>IFERROR(IF(Table1[[#This Row],[Type]]="IN",Table1[[#This Row],[RC Date]]-Table1[[#This Row],[Posting Date]],""),"")</f>
        <v/>
      </c>
      <c r="N30">
        <f>IFERROR(IF(Table1[[#This Row],[Balance Due (LC)]]&lt;&gt;0,$S$1-L30,0),"")</f>
        <v>0</v>
      </c>
      <c r="O30" t="str">
        <f>IFERROR(IF(Table1[[#This Row],[Type]]="IN",Table1[[#This Row],[C/D (LC)]],IF(Table1[[#This Row],[Type]]="CN",Table1[[#This Row],[C/D (LC)]],"")),"")</f>
        <v/>
      </c>
      <c r="P30" t="str">
        <f>VLOOKUP(Table1[[#This Row],[Cust '#]],ClientInfo!$A:$B,2,0)</f>
        <v>Client_01</v>
      </c>
      <c r="Q30" t="str">
        <f>IFERROR(IF(#REF!&lt;&gt;0,$S$1-P30,0),"")</f>
        <v/>
      </c>
      <c r="R30" t="str">
        <f>IFERROR(IF(#REF!="IN",#REF!,IF(#REF!="CN",#REF!,"")),"")</f>
        <v/>
      </c>
    </row>
    <row r="31" spans="1:18">
      <c r="A31" t="s">
        <v>107</v>
      </c>
      <c r="B31" t="s">
        <v>12</v>
      </c>
      <c r="C31">
        <v>140011864</v>
      </c>
      <c r="D31" s="1">
        <v>45514</v>
      </c>
      <c r="E31">
        <v>2822.78</v>
      </c>
      <c r="F31">
        <v>0</v>
      </c>
      <c r="G31">
        <v>700001425</v>
      </c>
      <c r="H31" s="1">
        <v>45530</v>
      </c>
      <c r="I31">
        <f>YEAR(Table1[[#This Row],[Posting Date]])</f>
        <v>2024</v>
      </c>
      <c r="J31">
        <f>MONTH(Table1[[#This Row],[Posting Date]])</f>
        <v>8</v>
      </c>
      <c r="K31" t="str">
        <f>IF(Table1[[#This Row],[Type]]="IN",VLOOKUP(Table1[[#This Row],[Cust '#]],ClientInfo!$A:$D,4,0),"")</f>
        <v>NET30</v>
      </c>
      <c r="L31" s="1">
        <f>IF(K31="NET30",Table1[[#This Row],[Posting Date]]+30,IF(K31="NET15",Table1[[#This Row],[Posting Date]]+15,IF(K31="COD",Table1[[#This Row],[Posting Date]],"")))</f>
        <v>45544</v>
      </c>
      <c r="M31" s="4">
        <f>IFERROR(IF(Table1[[#This Row],[Type]]="IN",Table1[[#This Row],[RC Date]]-Table1[[#This Row],[Posting Date]],""),"")</f>
        <v>16</v>
      </c>
      <c r="N31">
        <f>IFERROR(IF(Table1[[#This Row],[Balance Due (LC)]]&lt;&gt;0,$S$1-L31,0),"")</f>
        <v>0</v>
      </c>
      <c r="O31">
        <f>IFERROR(IF(Table1[[#This Row],[Type]]="IN",Table1[[#This Row],[C/D (LC)]],IF(Table1[[#This Row],[Type]]="CN",Table1[[#This Row],[C/D (LC)]],"")),"")</f>
        <v>2822.78</v>
      </c>
      <c r="P31" t="str">
        <f>VLOOKUP(Table1[[#This Row],[Cust '#]],ClientInfo!$A:$B,2,0)</f>
        <v>Client_01</v>
      </c>
      <c r="Q31" t="str">
        <f>IFERROR(IF(#REF!&lt;&gt;0,$S$1-P31,0),"")</f>
        <v/>
      </c>
      <c r="R31" t="str">
        <f>IFERROR(IF(#REF!="IN",#REF!,IF(#REF!="CN",#REF!,"")),"")</f>
        <v/>
      </c>
    </row>
    <row r="32" spans="1:18">
      <c r="A32" t="s">
        <v>107</v>
      </c>
      <c r="B32" t="s">
        <v>12</v>
      </c>
      <c r="C32">
        <v>140012149</v>
      </c>
      <c r="D32" s="1">
        <v>45521</v>
      </c>
      <c r="E32">
        <v>2229.1</v>
      </c>
      <c r="F32">
        <v>0</v>
      </c>
      <c r="G32">
        <v>700001425</v>
      </c>
      <c r="H32" s="1">
        <v>45530</v>
      </c>
      <c r="I32">
        <f>YEAR(Table1[[#This Row],[Posting Date]])</f>
        <v>2024</v>
      </c>
      <c r="J32">
        <f>MONTH(Table1[[#This Row],[Posting Date]])</f>
        <v>8</v>
      </c>
      <c r="K32" t="str">
        <f>IF(Table1[[#This Row],[Type]]="IN",VLOOKUP(Table1[[#This Row],[Cust '#]],ClientInfo!$A:$D,4,0),"")</f>
        <v>NET30</v>
      </c>
      <c r="L32" s="1">
        <f>IF(K32="NET30",Table1[[#This Row],[Posting Date]]+30,IF(K32="NET15",Table1[[#This Row],[Posting Date]]+15,IF(K32="COD",Table1[[#This Row],[Posting Date]],"")))</f>
        <v>45551</v>
      </c>
      <c r="M32" s="4">
        <f>IFERROR(IF(Table1[[#This Row],[Type]]="IN",Table1[[#This Row],[RC Date]]-Table1[[#This Row],[Posting Date]],""),"")</f>
        <v>9</v>
      </c>
      <c r="N32">
        <f>IFERROR(IF(Table1[[#This Row],[Balance Due (LC)]]&lt;&gt;0,$S$1-L32,0),"")</f>
        <v>0</v>
      </c>
      <c r="O32">
        <f>IFERROR(IF(Table1[[#This Row],[Type]]="IN",Table1[[#This Row],[C/D (LC)]],IF(Table1[[#This Row],[Type]]="CN",Table1[[#This Row],[C/D (LC)]],"")),"")</f>
        <v>2229.1</v>
      </c>
      <c r="P32" t="str">
        <f>VLOOKUP(Table1[[#This Row],[Cust '#]],ClientInfo!$A:$B,2,0)</f>
        <v>Client_01</v>
      </c>
      <c r="Q32" t="str">
        <f>IFERROR(IF(#REF!&lt;&gt;0,$S$1-P32,0),"")</f>
        <v/>
      </c>
      <c r="R32" t="str">
        <f>IFERROR(IF(#REF!="IN",#REF!,IF(#REF!="CN",#REF!,"")),"")</f>
        <v/>
      </c>
    </row>
    <row r="33" spans="1:18">
      <c r="A33" t="s">
        <v>107</v>
      </c>
      <c r="B33" t="s">
        <v>12</v>
      </c>
      <c r="C33">
        <v>140012473</v>
      </c>
      <c r="D33" s="1">
        <v>45528</v>
      </c>
      <c r="E33">
        <v>2067.6</v>
      </c>
      <c r="F33">
        <v>0</v>
      </c>
      <c r="G33">
        <v>700001496</v>
      </c>
      <c r="H33" s="1">
        <v>45540</v>
      </c>
      <c r="I33">
        <f>YEAR(Table1[[#This Row],[Posting Date]])</f>
        <v>2024</v>
      </c>
      <c r="J33">
        <f>MONTH(Table1[[#This Row],[Posting Date]])</f>
        <v>8</v>
      </c>
      <c r="K33" t="str">
        <f>IF(Table1[[#This Row],[Type]]="IN",VLOOKUP(Table1[[#This Row],[Cust '#]],ClientInfo!$A:$D,4,0),"")</f>
        <v>NET30</v>
      </c>
      <c r="L33" s="1">
        <f>IF(K33="NET30",Table1[[#This Row],[Posting Date]]+30,IF(K33="NET15",Table1[[#This Row],[Posting Date]]+15,IF(K33="COD",Table1[[#This Row],[Posting Date]],"")))</f>
        <v>45558</v>
      </c>
      <c r="M33" s="4">
        <f>IFERROR(IF(Table1[[#This Row],[Type]]="IN",Table1[[#This Row],[RC Date]]-Table1[[#This Row],[Posting Date]],""),"")</f>
        <v>12</v>
      </c>
      <c r="N33">
        <f>IFERROR(IF(Table1[[#This Row],[Balance Due (LC)]]&lt;&gt;0,$S$1-L33,0),"")</f>
        <v>0</v>
      </c>
      <c r="O33">
        <f>IFERROR(IF(Table1[[#This Row],[Type]]="IN",Table1[[#This Row],[C/D (LC)]],IF(Table1[[#This Row],[Type]]="CN",Table1[[#This Row],[C/D (LC)]],"")),"")</f>
        <v>2067.6</v>
      </c>
      <c r="P33" t="str">
        <f>VLOOKUP(Table1[[#This Row],[Cust '#]],ClientInfo!$A:$B,2,0)</f>
        <v>Client_01</v>
      </c>
      <c r="Q33" t="str">
        <f>IFERROR(IF(#REF!&lt;&gt;0,$S$1-P33,0),"")</f>
        <v/>
      </c>
      <c r="R33" t="str">
        <f>IFERROR(IF(#REF!="IN",#REF!,IF(#REF!="CN",#REF!,"")),"")</f>
        <v/>
      </c>
    </row>
    <row r="34" spans="1:18">
      <c r="A34" t="s">
        <v>107</v>
      </c>
      <c r="B34" t="s">
        <v>13</v>
      </c>
      <c r="C34">
        <v>150000526</v>
      </c>
      <c r="D34" s="1">
        <v>45528</v>
      </c>
      <c r="E34">
        <v>-77</v>
      </c>
      <c r="F34">
        <v>0</v>
      </c>
      <c r="G34">
        <v>700001496</v>
      </c>
      <c r="H34" s="1">
        <v>45540</v>
      </c>
      <c r="I34">
        <f>YEAR(Table1[[#This Row],[Posting Date]])</f>
        <v>2024</v>
      </c>
      <c r="J34">
        <f>MONTH(Table1[[#This Row],[Posting Date]])</f>
        <v>8</v>
      </c>
      <c r="K34" t="str">
        <f>IF(Table1[[#This Row],[Type]]="IN",VLOOKUP(Table1[[#This Row],[Cust '#]],ClientInfo!$A:$D,4,0),"")</f>
        <v/>
      </c>
      <c r="L34" s="1" t="str">
        <f>IF(K34="NET30",Table1[[#This Row],[Posting Date]]+30,IF(K34="NET15",Table1[[#This Row],[Posting Date]]+15,IF(K34="COD",Table1[[#This Row],[Posting Date]],"")))</f>
        <v/>
      </c>
      <c r="M34" s="4" t="str">
        <f>IFERROR(IF(Table1[[#This Row],[Type]]="IN",Table1[[#This Row],[RC Date]]-Table1[[#This Row],[Posting Date]],""),"")</f>
        <v/>
      </c>
      <c r="N34">
        <f>IFERROR(IF(Table1[[#This Row],[Balance Due (LC)]]&lt;&gt;0,$S$1-L34,0),"")</f>
        <v>0</v>
      </c>
      <c r="O34">
        <f>IFERROR(IF(Table1[[#This Row],[Type]]="IN",Table1[[#This Row],[C/D (LC)]],IF(Table1[[#This Row],[Type]]="CN",Table1[[#This Row],[C/D (LC)]],"")),"")</f>
        <v>-77</v>
      </c>
      <c r="P34" t="str">
        <f>VLOOKUP(Table1[[#This Row],[Cust '#]],ClientInfo!$A:$B,2,0)</f>
        <v>Client_01</v>
      </c>
      <c r="Q34" t="str">
        <f>IFERROR(IF(#REF!&lt;&gt;0,$S$1-P34,0),"")</f>
        <v/>
      </c>
      <c r="R34" t="str">
        <f>IFERROR(IF(#REF!="IN",#REF!,IF(#REF!="CN",#REF!,"")),"")</f>
        <v/>
      </c>
    </row>
    <row r="35" spans="1:18">
      <c r="A35" t="s">
        <v>107</v>
      </c>
      <c r="B35" t="s">
        <v>10</v>
      </c>
      <c r="C35">
        <v>700001425</v>
      </c>
      <c r="D35" s="1">
        <v>45530</v>
      </c>
      <c r="E35">
        <v>-5051.88</v>
      </c>
      <c r="F35">
        <v>0</v>
      </c>
      <c r="G35">
        <v>700001425</v>
      </c>
      <c r="H35" s="1">
        <v>45530</v>
      </c>
      <c r="I35">
        <f>YEAR(Table1[[#This Row],[Posting Date]])</f>
        <v>2024</v>
      </c>
      <c r="J35">
        <f>MONTH(Table1[[#This Row],[Posting Date]])</f>
        <v>8</v>
      </c>
      <c r="K35" t="str">
        <f>IF(Table1[[#This Row],[Type]]="IN",VLOOKUP(Table1[[#This Row],[Cust '#]],ClientInfo!$A:$D,4,0),"")</f>
        <v/>
      </c>
      <c r="L35" s="1" t="str">
        <f>IF(K35="NET30",Table1[[#This Row],[Posting Date]]+30,IF(K35="NET15",Table1[[#This Row],[Posting Date]]+15,IF(K35="COD",Table1[[#This Row],[Posting Date]],"")))</f>
        <v/>
      </c>
      <c r="M35" s="4" t="str">
        <f>IFERROR(IF(Table1[[#This Row],[Type]]="IN",Table1[[#This Row],[RC Date]]-Table1[[#This Row],[Posting Date]],""),"")</f>
        <v/>
      </c>
      <c r="N35">
        <f>IFERROR(IF(Table1[[#This Row],[Balance Due (LC)]]&lt;&gt;0,$S$1-L35,0),"")</f>
        <v>0</v>
      </c>
      <c r="O35" t="str">
        <f>IFERROR(IF(Table1[[#This Row],[Type]]="IN",Table1[[#This Row],[C/D (LC)]],IF(Table1[[#This Row],[Type]]="CN",Table1[[#This Row],[C/D (LC)]],"")),"")</f>
        <v/>
      </c>
      <c r="P35" t="str">
        <f>VLOOKUP(Table1[[#This Row],[Cust '#]],ClientInfo!$A:$B,2,0)</f>
        <v>Client_01</v>
      </c>
      <c r="Q35" t="str">
        <f>IFERROR(IF(#REF!&lt;&gt;0,$S$1-P35,0),"")</f>
        <v/>
      </c>
      <c r="R35" t="str">
        <f>IFERROR(IF(#REF!="IN",#REF!,IF(#REF!="CN",#REF!,"")),"")</f>
        <v/>
      </c>
    </row>
    <row r="36" spans="1:18">
      <c r="A36" t="s">
        <v>107</v>
      </c>
      <c r="B36" t="s">
        <v>10</v>
      </c>
      <c r="C36">
        <v>700001496</v>
      </c>
      <c r="D36" s="1">
        <v>45540</v>
      </c>
      <c r="E36">
        <v>-1990.6</v>
      </c>
      <c r="F36">
        <v>0</v>
      </c>
      <c r="G36">
        <v>700001496</v>
      </c>
      <c r="H36" s="1">
        <v>45540</v>
      </c>
      <c r="I36">
        <f>YEAR(Table1[[#This Row],[Posting Date]])</f>
        <v>2024</v>
      </c>
      <c r="J36">
        <f>MONTH(Table1[[#This Row],[Posting Date]])</f>
        <v>9</v>
      </c>
      <c r="K36" t="str">
        <f>IF(Table1[[#This Row],[Type]]="IN",VLOOKUP(Table1[[#This Row],[Cust '#]],ClientInfo!$A:$D,4,0),"")</f>
        <v/>
      </c>
      <c r="L36" s="1" t="str">
        <f>IF(K36="NET30",Table1[[#This Row],[Posting Date]]+30,IF(K36="NET15",Table1[[#This Row],[Posting Date]]+15,IF(K36="COD",Table1[[#This Row],[Posting Date]],"")))</f>
        <v/>
      </c>
      <c r="M36" s="4" t="str">
        <f>IFERROR(IF(Table1[[#This Row],[Type]]="IN",Table1[[#This Row],[RC Date]]-Table1[[#This Row],[Posting Date]],""),"")</f>
        <v/>
      </c>
      <c r="N36">
        <f>IFERROR(IF(Table1[[#This Row],[Balance Due (LC)]]&lt;&gt;0,$S$1-L36,0),"")</f>
        <v>0</v>
      </c>
      <c r="O36" t="str">
        <f>IFERROR(IF(Table1[[#This Row],[Type]]="IN",Table1[[#This Row],[C/D (LC)]],IF(Table1[[#This Row],[Type]]="CN",Table1[[#This Row],[C/D (LC)]],"")),"")</f>
        <v/>
      </c>
      <c r="P36" t="str">
        <f>VLOOKUP(Table1[[#This Row],[Cust '#]],ClientInfo!$A:$B,2,0)</f>
        <v>Client_01</v>
      </c>
      <c r="Q36" t="str">
        <f>IFERROR(IF(#REF!&lt;&gt;0,$S$1-P36,0),"")</f>
        <v/>
      </c>
      <c r="R36" t="str">
        <f>IFERROR(IF(#REF!="IN",#REF!,IF(#REF!="CN",#REF!,"")),"")</f>
        <v/>
      </c>
    </row>
    <row r="37" spans="1:18">
      <c r="A37" t="s">
        <v>107</v>
      </c>
      <c r="B37" t="s">
        <v>10</v>
      </c>
      <c r="C37">
        <v>700001496</v>
      </c>
      <c r="D37" s="1">
        <v>45540</v>
      </c>
      <c r="E37">
        <v>1990.6</v>
      </c>
      <c r="F37">
        <v>0</v>
      </c>
      <c r="G37">
        <v>700001496</v>
      </c>
      <c r="H37" s="1">
        <v>45540</v>
      </c>
      <c r="I37">
        <f>YEAR(Table1[[#This Row],[Posting Date]])</f>
        <v>2024</v>
      </c>
      <c r="J37">
        <f>MONTH(Table1[[#This Row],[Posting Date]])</f>
        <v>9</v>
      </c>
      <c r="K37" t="str">
        <f>IF(Table1[[#This Row],[Type]]="IN",VLOOKUP(Table1[[#This Row],[Cust '#]],ClientInfo!$A:$D,4,0),"")</f>
        <v/>
      </c>
      <c r="L37" s="1" t="str">
        <f>IF(K37="NET30",Table1[[#This Row],[Posting Date]]+30,IF(K37="NET15",Table1[[#This Row],[Posting Date]]+15,IF(K37="COD",Table1[[#This Row],[Posting Date]],"")))</f>
        <v/>
      </c>
      <c r="M37" s="4" t="str">
        <f>IFERROR(IF(Table1[[#This Row],[Type]]="IN",Table1[[#This Row],[RC Date]]-Table1[[#This Row],[Posting Date]],""),"")</f>
        <v/>
      </c>
      <c r="N37">
        <f>IFERROR(IF(Table1[[#This Row],[Balance Due (LC)]]&lt;&gt;0,$S$1-L37,0),"")</f>
        <v>0</v>
      </c>
      <c r="O37" t="str">
        <f>IFERROR(IF(Table1[[#This Row],[Type]]="IN",Table1[[#This Row],[C/D (LC)]],IF(Table1[[#This Row],[Type]]="CN",Table1[[#This Row],[C/D (LC)]],"")),"")</f>
        <v/>
      </c>
      <c r="P37" t="str">
        <f>VLOOKUP(Table1[[#This Row],[Cust '#]],ClientInfo!$A:$B,2,0)</f>
        <v>Client_01</v>
      </c>
      <c r="Q37" t="str">
        <f>IFERROR(IF(#REF!&lt;&gt;0,$S$1-P37,0),"")</f>
        <v/>
      </c>
      <c r="R37" t="str">
        <f>IFERROR(IF(#REF!="IN",#REF!,IF(#REF!="CN",#REF!,"")),"")</f>
        <v/>
      </c>
    </row>
    <row r="38" spans="1:18">
      <c r="A38" t="s">
        <v>107</v>
      </c>
      <c r="B38" t="s">
        <v>10</v>
      </c>
      <c r="C38">
        <v>700001516</v>
      </c>
      <c r="D38" s="1">
        <v>45540</v>
      </c>
      <c r="E38">
        <v>-1990</v>
      </c>
      <c r="F38">
        <v>0</v>
      </c>
      <c r="G38">
        <v>700001496</v>
      </c>
      <c r="H38" s="1">
        <v>45540</v>
      </c>
      <c r="I38">
        <f>YEAR(Table1[[#This Row],[Posting Date]])</f>
        <v>2024</v>
      </c>
      <c r="J38">
        <f>MONTH(Table1[[#This Row],[Posting Date]])</f>
        <v>9</v>
      </c>
      <c r="K38" t="str">
        <f>IF(Table1[[#This Row],[Type]]="IN",VLOOKUP(Table1[[#This Row],[Cust '#]],ClientInfo!$A:$D,4,0),"")</f>
        <v/>
      </c>
      <c r="L38" s="1" t="str">
        <f>IF(K38="NET30",Table1[[#This Row],[Posting Date]]+30,IF(K38="NET15",Table1[[#This Row],[Posting Date]]+15,IF(K38="COD",Table1[[#This Row],[Posting Date]],"")))</f>
        <v/>
      </c>
      <c r="M38" s="4" t="str">
        <f>IFERROR(IF(Table1[[#This Row],[Type]]="IN",Table1[[#This Row],[RC Date]]-Table1[[#This Row],[Posting Date]],""),"")</f>
        <v/>
      </c>
      <c r="N38">
        <f>IFERROR(IF(Table1[[#This Row],[Balance Due (LC)]]&lt;&gt;0,$S$1-L38,0),"")</f>
        <v>0</v>
      </c>
      <c r="O38" t="str">
        <f>IFERROR(IF(Table1[[#This Row],[Type]]="IN",Table1[[#This Row],[C/D (LC)]],IF(Table1[[#This Row],[Type]]="CN",Table1[[#This Row],[C/D (LC)]],"")),"")</f>
        <v/>
      </c>
      <c r="P38" t="str">
        <f>VLOOKUP(Table1[[#This Row],[Cust '#]],ClientInfo!$A:$B,2,0)</f>
        <v>Client_01</v>
      </c>
      <c r="Q38" t="str">
        <f>IFERROR(IF(#REF!&lt;&gt;0,$S$1-P38,0),"")</f>
        <v/>
      </c>
      <c r="R38" t="str">
        <f>IFERROR(IF(#REF!="IN",#REF!,IF(#REF!="CN",#REF!,"")),"")</f>
        <v/>
      </c>
    </row>
    <row r="39" spans="1:18">
      <c r="A39" t="s">
        <v>107</v>
      </c>
      <c r="B39" t="s">
        <v>12</v>
      </c>
      <c r="C39">
        <v>140013137</v>
      </c>
      <c r="D39" s="1">
        <v>45542</v>
      </c>
      <c r="E39">
        <v>2563.12</v>
      </c>
      <c r="F39">
        <v>0</v>
      </c>
      <c r="G39">
        <v>700001612</v>
      </c>
      <c r="H39" s="1">
        <v>45554</v>
      </c>
      <c r="I39">
        <f>YEAR(Table1[[#This Row],[Posting Date]])</f>
        <v>2024</v>
      </c>
      <c r="J39">
        <f>MONTH(Table1[[#This Row],[Posting Date]])</f>
        <v>9</v>
      </c>
      <c r="K39" t="str">
        <f>IF(Table1[[#This Row],[Type]]="IN",VLOOKUP(Table1[[#This Row],[Cust '#]],ClientInfo!$A:$D,4,0),"")</f>
        <v>NET30</v>
      </c>
      <c r="L39" s="1">
        <f>IF(K39="NET30",Table1[[#This Row],[Posting Date]]+30,IF(K39="NET15",Table1[[#This Row],[Posting Date]]+15,IF(K39="COD",Table1[[#This Row],[Posting Date]],"")))</f>
        <v>45572</v>
      </c>
      <c r="M39" s="4">
        <f>IFERROR(IF(Table1[[#This Row],[Type]]="IN",Table1[[#This Row],[RC Date]]-Table1[[#This Row],[Posting Date]],""),"")</f>
        <v>12</v>
      </c>
      <c r="N39">
        <f>IFERROR(IF(Table1[[#This Row],[Balance Due (LC)]]&lt;&gt;0,$S$1-L39,0),"")</f>
        <v>0</v>
      </c>
      <c r="O39">
        <f>IFERROR(IF(Table1[[#This Row],[Type]]="IN",Table1[[#This Row],[C/D (LC)]],IF(Table1[[#This Row],[Type]]="CN",Table1[[#This Row],[C/D (LC)]],"")),"")</f>
        <v>2563.12</v>
      </c>
      <c r="P39" t="str">
        <f>VLOOKUP(Table1[[#This Row],[Cust '#]],ClientInfo!$A:$B,2,0)</f>
        <v>Client_01</v>
      </c>
      <c r="Q39" t="str">
        <f>IFERROR(IF(#REF!&lt;&gt;0,$S$1-P39,0),"")</f>
        <v/>
      </c>
      <c r="R39" t="str">
        <f>IFERROR(IF(#REF!="IN",#REF!,IF(#REF!="CN",#REF!,"")),"")</f>
        <v/>
      </c>
    </row>
    <row r="40" spans="1:18">
      <c r="A40" t="s">
        <v>107</v>
      </c>
      <c r="B40" t="s">
        <v>10</v>
      </c>
      <c r="C40">
        <v>700001612</v>
      </c>
      <c r="D40" s="1">
        <v>45554</v>
      </c>
      <c r="E40">
        <v>-2563.12</v>
      </c>
      <c r="F40">
        <v>0</v>
      </c>
      <c r="G40">
        <v>700001612</v>
      </c>
      <c r="H40" s="1">
        <v>45554</v>
      </c>
      <c r="I40">
        <f>YEAR(Table1[[#This Row],[Posting Date]])</f>
        <v>2024</v>
      </c>
      <c r="J40">
        <f>MONTH(Table1[[#This Row],[Posting Date]])</f>
        <v>9</v>
      </c>
      <c r="K40" t="str">
        <f>IF(Table1[[#This Row],[Type]]="IN",VLOOKUP(Table1[[#This Row],[Cust '#]],ClientInfo!$A:$D,4,0),"")</f>
        <v/>
      </c>
      <c r="L40" s="1" t="str">
        <f>IF(K40="NET30",Table1[[#This Row],[Posting Date]]+30,IF(K40="NET15",Table1[[#This Row],[Posting Date]]+15,IF(K40="COD",Table1[[#This Row],[Posting Date]],"")))</f>
        <v/>
      </c>
      <c r="M40" s="4" t="str">
        <f>IFERROR(IF(Table1[[#This Row],[Type]]="IN",Table1[[#This Row],[RC Date]]-Table1[[#This Row],[Posting Date]],""),"")</f>
        <v/>
      </c>
      <c r="N40">
        <f>IFERROR(IF(Table1[[#This Row],[Balance Due (LC)]]&lt;&gt;0,$S$1-L40,0),"")</f>
        <v>0</v>
      </c>
      <c r="O40" t="str">
        <f>IFERROR(IF(Table1[[#This Row],[Type]]="IN",Table1[[#This Row],[C/D (LC)]],IF(Table1[[#This Row],[Type]]="CN",Table1[[#This Row],[C/D (LC)]],"")),"")</f>
        <v/>
      </c>
      <c r="P40" t="str">
        <f>VLOOKUP(Table1[[#This Row],[Cust '#]],ClientInfo!$A:$B,2,0)</f>
        <v>Client_01</v>
      </c>
      <c r="Q40" t="str">
        <f>IFERROR(IF(#REF!&lt;&gt;0,$S$1-P40,0),"")</f>
        <v/>
      </c>
      <c r="R40" t="str">
        <f>IFERROR(IF(#REF!="IN",#REF!,IF(#REF!="CN",#REF!,"")),"")</f>
        <v/>
      </c>
    </row>
    <row r="41" spans="1:18">
      <c r="A41" t="s">
        <v>107</v>
      </c>
      <c r="B41" t="s">
        <v>11</v>
      </c>
      <c r="C41">
        <v>860056204</v>
      </c>
      <c r="D41" s="1">
        <v>45554</v>
      </c>
      <c r="E41">
        <v>-0.6</v>
      </c>
      <c r="F41">
        <v>0</v>
      </c>
      <c r="G41">
        <v>700001496</v>
      </c>
      <c r="H41" s="1">
        <v>45540</v>
      </c>
      <c r="I41">
        <f>YEAR(Table1[[#This Row],[Posting Date]])</f>
        <v>2024</v>
      </c>
      <c r="J41">
        <f>MONTH(Table1[[#This Row],[Posting Date]])</f>
        <v>9</v>
      </c>
      <c r="K41" t="str">
        <f>IF(Table1[[#This Row],[Type]]="IN",VLOOKUP(Table1[[#This Row],[Cust '#]],ClientInfo!$A:$D,4,0),"")</f>
        <v/>
      </c>
      <c r="L41" s="1" t="str">
        <f>IF(K41="NET30",Table1[[#This Row],[Posting Date]]+30,IF(K41="NET15",Table1[[#This Row],[Posting Date]]+15,IF(K41="COD",Table1[[#This Row],[Posting Date]],"")))</f>
        <v/>
      </c>
      <c r="M41" s="4" t="str">
        <f>IFERROR(IF(Table1[[#This Row],[Type]]="IN",Table1[[#This Row],[RC Date]]-Table1[[#This Row],[Posting Date]],""),"")</f>
        <v/>
      </c>
      <c r="N41">
        <f>IFERROR(IF(Table1[[#This Row],[Balance Due (LC)]]&lt;&gt;0,$S$1-L41,0),"")</f>
        <v>0</v>
      </c>
      <c r="O41" t="str">
        <f>IFERROR(IF(Table1[[#This Row],[Type]]="IN",Table1[[#This Row],[C/D (LC)]],IF(Table1[[#This Row],[Type]]="CN",Table1[[#This Row],[C/D (LC)]],"")),"")</f>
        <v/>
      </c>
      <c r="P41" t="str">
        <f>VLOOKUP(Table1[[#This Row],[Cust '#]],ClientInfo!$A:$B,2,0)</f>
        <v>Client_01</v>
      </c>
      <c r="Q41" t="str">
        <f>IFERROR(IF(#REF!&lt;&gt;0,$S$1-P41,0),"")</f>
        <v/>
      </c>
      <c r="R41" t="str">
        <f>IFERROR(IF(#REF!="IN",#REF!,IF(#REF!="CN",#REF!,"")),"")</f>
        <v/>
      </c>
    </row>
    <row r="42" spans="1:18">
      <c r="A42" t="s">
        <v>107</v>
      </c>
      <c r="B42" t="s">
        <v>12</v>
      </c>
      <c r="C42">
        <v>140013815</v>
      </c>
      <c r="D42" s="1">
        <v>45556</v>
      </c>
      <c r="E42">
        <v>3463.38</v>
      </c>
      <c r="F42">
        <v>0</v>
      </c>
      <c r="G42">
        <v>700001852</v>
      </c>
      <c r="H42" s="1">
        <v>45586</v>
      </c>
      <c r="I42">
        <f>YEAR(Table1[[#This Row],[Posting Date]])</f>
        <v>2024</v>
      </c>
      <c r="J42">
        <f>MONTH(Table1[[#This Row],[Posting Date]])</f>
        <v>9</v>
      </c>
      <c r="K42" t="str">
        <f>IF(Table1[[#This Row],[Type]]="IN",VLOOKUP(Table1[[#This Row],[Cust '#]],ClientInfo!$A:$D,4,0),"")</f>
        <v>NET30</v>
      </c>
      <c r="L42" s="1">
        <f>IF(K42="NET30",Table1[[#This Row],[Posting Date]]+30,IF(K42="NET15",Table1[[#This Row],[Posting Date]]+15,IF(K42="COD",Table1[[#This Row],[Posting Date]],"")))</f>
        <v>45586</v>
      </c>
      <c r="M42" s="4">
        <f>IFERROR(IF(Table1[[#This Row],[Type]]="IN",Table1[[#This Row],[RC Date]]-Table1[[#This Row],[Posting Date]],""),"")</f>
        <v>30</v>
      </c>
      <c r="N42">
        <f>IFERROR(IF(Table1[[#This Row],[Balance Due (LC)]]&lt;&gt;0,$S$1-L42,0),"")</f>
        <v>0</v>
      </c>
      <c r="O42">
        <f>IFERROR(IF(Table1[[#This Row],[Type]]="IN",Table1[[#This Row],[C/D (LC)]],IF(Table1[[#This Row],[Type]]="CN",Table1[[#This Row],[C/D (LC)]],"")),"")</f>
        <v>3463.38</v>
      </c>
      <c r="P42" t="str">
        <f>VLOOKUP(Table1[[#This Row],[Cust '#]],ClientInfo!$A:$B,2,0)</f>
        <v>Client_01</v>
      </c>
      <c r="Q42" t="str">
        <f>IFERROR(IF(#REF!&lt;&gt;0,$S$1-P42,0),"")</f>
        <v/>
      </c>
      <c r="R42" t="str">
        <f>IFERROR(IF(#REF!="IN",#REF!,IF(#REF!="CN",#REF!,"")),"")</f>
        <v/>
      </c>
    </row>
    <row r="43" spans="1:18">
      <c r="A43" t="s">
        <v>107</v>
      </c>
      <c r="B43" t="s">
        <v>12</v>
      </c>
      <c r="C43">
        <v>140014490</v>
      </c>
      <c r="D43" s="1">
        <v>45570</v>
      </c>
      <c r="E43">
        <v>3397.9</v>
      </c>
      <c r="F43">
        <v>0</v>
      </c>
      <c r="G43">
        <v>700001852</v>
      </c>
      <c r="H43" s="1">
        <v>45586</v>
      </c>
      <c r="I43">
        <f>YEAR(Table1[[#This Row],[Posting Date]])</f>
        <v>2024</v>
      </c>
      <c r="J43">
        <f>MONTH(Table1[[#This Row],[Posting Date]])</f>
        <v>10</v>
      </c>
      <c r="K43" t="str">
        <f>IF(Table1[[#This Row],[Type]]="IN",VLOOKUP(Table1[[#This Row],[Cust '#]],ClientInfo!$A:$D,4,0),"")</f>
        <v>NET30</v>
      </c>
      <c r="L43" s="1">
        <f>IF(K43="NET30",Table1[[#This Row],[Posting Date]]+30,IF(K43="NET15",Table1[[#This Row],[Posting Date]]+15,IF(K43="COD",Table1[[#This Row],[Posting Date]],"")))</f>
        <v>45600</v>
      </c>
      <c r="M43" s="4">
        <f>IFERROR(IF(Table1[[#This Row],[Type]]="IN",Table1[[#This Row],[RC Date]]-Table1[[#This Row],[Posting Date]],""),"")</f>
        <v>16</v>
      </c>
      <c r="N43">
        <f>IFERROR(IF(Table1[[#This Row],[Balance Due (LC)]]&lt;&gt;0,$S$1-L43,0),"")</f>
        <v>0</v>
      </c>
      <c r="O43">
        <f>IFERROR(IF(Table1[[#This Row],[Type]]="IN",Table1[[#This Row],[C/D (LC)]],IF(Table1[[#This Row],[Type]]="CN",Table1[[#This Row],[C/D (LC)]],"")),"")</f>
        <v>3397.9</v>
      </c>
      <c r="P43" t="str">
        <f>VLOOKUP(Table1[[#This Row],[Cust '#]],ClientInfo!$A:$B,2,0)</f>
        <v>Client_01</v>
      </c>
      <c r="Q43" t="str">
        <f>IFERROR(IF(#REF!&lt;&gt;0,$S$1-P43,0),"")</f>
        <v/>
      </c>
      <c r="R43" t="str">
        <f>IFERROR(IF(#REF!="IN",#REF!,IF(#REF!="CN",#REF!,"")),"")</f>
        <v/>
      </c>
    </row>
    <row r="44" spans="1:18">
      <c r="A44" t="s">
        <v>107</v>
      </c>
      <c r="B44" t="s">
        <v>12</v>
      </c>
      <c r="C44">
        <v>140015118</v>
      </c>
      <c r="D44" s="1">
        <v>45584</v>
      </c>
      <c r="E44">
        <v>2783.8</v>
      </c>
      <c r="F44">
        <v>0</v>
      </c>
      <c r="G44">
        <v>700001937</v>
      </c>
      <c r="H44" s="1">
        <v>45596</v>
      </c>
      <c r="I44">
        <f>YEAR(Table1[[#This Row],[Posting Date]])</f>
        <v>2024</v>
      </c>
      <c r="J44">
        <f>MONTH(Table1[[#This Row],[Posting Date]])</f>
        <v>10</v>
      </c>
      <c r="K44" t="str">
        <f>IF(Table1[[#This Row],[Type]]="IN",VLOOKUP(Table1[[#This Row],[Cust '#]],ClientInfo!$A:$D,4,0),"")</f>
        <v>NET30</v>
      </c>
      <c r="L44" s="1">
        <f>IF(K44="NET30",Table1[[#This Row],[Posting Date]]+30,IF(K44="NET15",Table1[[#This Row],[Posting Date]]+15,IF(K44="COD",Table1[[#This Row],[Posting Date]],"")))</f>
        <v>45614</v>
      </c>
      <c r="M44" s="4">
        <f>IFERROR(IF(Table1[[#This Row],[Type]]="IN",Table1[[#This Row],[RC Date]]-Table1[[#This Row],[Posting Date]],""),"")</f>
        <v>12</v>
      </c>
      <c r="N44">
        <f>IFERROR(IF(Table1[[#This Row],[Balance Due (LC)]]&lt;&gt;0,$S$1-L44,0),"")</f>
        <v>0</v>
      </c>
      <c r="O44">
        <f>IFERROR(IF(Table1[[#This Row],[Type]]="IN",Table1[[#This Row],[C/D (LC)]],IF(Table1[[#This Row],[Type]]="CN",Table1[[#This Row],[C/D (LC)]],"")),"")</f>
        <v>2783.8</v>
      </c>
      <c r="P44" t="str">
        <f>VLOOKUP(Table1[[#This Row],[Cust '#]],ClientInfo!$A:$B,2,0)</f>
        <v>Client_01</v>
      </c>
      <c r="Q44" t="str">
        <f>IFERROR(IF(#REF!&lt;&gt;0,$S$1-P44,0),"")</f>
        <v/>
      </c>
      <c r="R44" t="str">
        <f>IFERROR(IF(#REF!="IN",#REF!,IF(#REF!="CN",#REF!,"")),"")</f>
        <v/>
      </c>
    </row>
    <row r="45" spans="1:18">
      <c r="A45" t="s">
        <v>107</v>
      </c>
      <c r="B45" t="s">
        <v>10</v>
      </c>
      <c r="C45">
        <v>700001852</v>
      </c>
      <c r="D45" s="1">
        <v>45586</v>
      </c>
      <c r="E45">
        <v>-6861.28</v>
      </c>
      <c r="F45">
        <v>0</v>
      </c>
      <c r="G45">
        <v>700001852</v>
      </c>
      <c r="H45" s="1">
        <v>45586</v>
      </c>
      <c r="I45">
        <f>YEAR(Table1[[#This Row],[Posting Date]])</f>
        <v>2024</v>
      </c>
      <c r="J45">
        <f>MONTH(Table1[[#This Row],[Posting Date]])</f>
        <v>10</v>
      </c>
      <c r="K45" t="str">
        <f>IF(Table1[[#This Row],[Type]]="IN",VLOOKUP(Table1[[#This Row],[Cust '#]],ClientInfo!$A:$D,4,0),"")</f>
        <v/>
      </c>
      <c r="L45" s="1" t="str">
        <f>IF(K45="NET30",Table1[[#This Row],[Posting Date]]+30,IF(K45="NET15",Table1[[#This Row],[Posting Date]]+15,IF(K45="COD",Table1[[#This Row],[Posting Date]],"")))</f>
        <v/>
      </c>
      <c r="M45" s="4" t="str">
        <f>IFERROR(IF(Table1[[#This Row],[Type]]="IN",Table1[[#This Row],[RC Date]]-Table1[[#This Row],[Posting Date]],""),"")</f>
        <v/>
      </c>
      <c r="N45">
        <f>IFERROR(IF(Table1[[#This Row],[Balance Due (LC)]]&lt;&gt;0,$S$1-L45,0),"")</f>
        <v>0</v>
      </c>
      <c r="O45" t="str">
        <f>IFERROR(IF(Table1[[#This Row],[Type]]="IN",Table1[[#This Row],[C/D (LC)]],IF(Table1[[#This Row],[Type]]="CN",Table1[[#This Row],[C/D (LC)]],"")),"")</f>
        <v/>
      </c>
      <c r="P45" t="str">
        <f>VLOOKUP(Table1[[#This Row],[Cust '#]],ClientInfo!$A:$B,2,0)</f>
        <v>Client_01</v>
      </c>
      <c r="Q45" t="str">
        <f>IFERROR(IF(#REF!&lt;&gt;0,$S$1-P45,0),"")</f>
        <v/>
      </c>
      <c r="R45" t="str">
        <f>IFERROR(IF(#REF!="IN",#REF!,IF(#REF!="CN",#REF!,"")),"")</f>
        <v/>
      </c>
    </row>
    <row r="46" spans="1:18">
      <c r="A46" t="s">
        <v>107</v>
      </c>
      <c r="B46" t="s">
        <v>10</v>
      </c>
      <c r="C46">
        <v>700001937</v>
      </c>
      <c r="D46" s="1">
        <v>45596</v>
      </c>
      <c r="E46">
        <v>-2783.8</v>
      </c>
      <c r="F46">
        <v>0</v>
      </c>
      <c r="G46">
        <v>700001937</v>
      </c>
      <c r="H46" s="1">
        <v>45596</v>
      </c>
      <c r="I46">
        <f>YEAR(Table1[[#This Row],[Posting Date]])</f>
        <v>2024</v>
      </c>
      <c r="J46">
        <f>MONTH(Table1[[#This Row],[Posting Date]])</f>
        <v>10</v>
      </c>
      <c r="K46" t="str">
        <f>IF(Table1[[#This Row],[Type]]="IN",VLOOKUP(Table1[[#This Row],[Cust '#]],ClientInfo!$A:$D,4,0),"")</f>
        <v/>
      </c>
      <c r="L46" s="1" t="str">
        <f>IF(K46="NET30",Table1[[#This Row],[Posting Date]]+30,IF(K46="NET15",Table1[[#This Row],[Posting Date]]+15,IF(K46="COD",Table1[[#This Row],[Posting Date]],"")))</f>
        <v/>
      </c>
      <c r="M46" s="4" t="str">
        <f>IFERROR(IF(Table1[[#This Row],[Type]]="IN",Table1[[#This Row],[RC Date]]-Table1[[#This Row],[Posting Date]],""),"")</f>
        <v/>
      </c>
      <c r="N46">
        <f>IFERROR(IF(Table1[[#This Row],[Balance Due (LC)]]&lt;&gt;0,$S$1-L46,0),"")</f>
        <v>0</v>
      </c>
      <c r="O46" t="str">
        <f>IFERROR(IF(Table1[[#This Row],[Type]]="IN",Table1[[#This Row],[C/D (LC)]],IF(Table1[[#This Row],[Type]]="CN",Table1[[#This Row],[C/D (LC)]],"")),"")</f>
        <v/>
      </c>
      <c r="P46" t="str">
        <f>VLOOKUP(Table1[[#This Row],[Cust '#]],ClientInfo!$A:$B,2,0)</f>
        <v>Client_01</v>
      </c>
      <c r="Q46" t="str">
        <f>IFERROR(IF(#REF!&lt;&gt;0,$S$1-P46,0),"")</f>
        <v/>
      </c>
      <c r="R46" t="str">
        <f>IFERROR(IF(#REF!="IN",#REF!,IF(#REF!="CN",#REF!,"")),"")</f>
        <v/>
      </c>
    </row>
    <row r="47" spans="1:18">
      <c r="A47" t="s">
        <v>107</v>
      </c>
      <c r="B47" t="s">
        <v>13</v>
      </c>
      <c r="C47">
        <v>150000674</v>
      </c>
      <c r="D47" s="1">
        <v>45596</v>
      </c>
      <c r="E47">
        <v>-28</v>
      </c>
      <c r="F47">
        <v>0</v>
      </c>
      <c r="G47">
        <v>700002149</v>
      </c>
      <c r="H47" s="1">
        <v>45628</v>
      </c>
      <c r="I47">
        <f>YEAR(Table1[[#This Row],[Posting Date]])</f>
        <v>2024</v>
      </c>
      <c r="J47">
        <f>MONTH(Table1[[#This Row],[Posting Date]])</f>
        <v>10</v>
      </c>
      <c r="K47" t="str">
        <f>IF(Table1[[#This Row],[Type]]="IN",VLOOKUP(Table1[[#This Row],[Cust '#]],ClientInfo!$A:$D,4,0),"")</f>
        <v/>
      </c>
      <c r="L47" s="1" t="str">
        <f>IF(K47="NET30",Table1[[#This Row],[Posting Date]]+30,IF(K47="NET15",Table1[[#This Row],[Posting Date]]+15,IF(K47="COD",Table1[[#This Row],[Posting Date]],"")))</f>
        <v/>
      </c>
      <c r="M47" s="4" t="str">
        <f>IFERROR(IF(Table1[[#This Row],[Type]]="IN",Table1[[#This Row],[RC Date]]-Table1[[#This Row],[Posting Date]],""),"")</f>
        <v/>
      </c>
      <c r="N47">
        <f>IFERROR(IF(Table1[[#This Row],[Balance Due (LC)]]&lt;&gt;0,$S$1-L47,0),"")</f>
        <v>0</v>
      </c>
      <c r="O47">
        <f>IFERROR(IF(Table1[[#This Row],[Type]]="IN",Table1[[#This Row],[C/D (LC)]],IF(Table1[[#This Row],[Type]]="CN",Table1[[#This Row],[C/D (LC)]],"")),"")</f>
        <v>-28</v>
      </c>
      <c r="P47" t="str">
        <f>VLOOKUP(Table1[[#This Row],[Cust '#]],ClientInfo!$A:$B,2,0)</f>
        <v>Client_01</v>
      </c>
      <c r="Q47" t="str">
        <f>IFERROR(IF(#REF!&lt;&gt;0,$S$1-P47,0),"")</f>
        <v/>
      </c>
      <c r="R47" t="str">
        <f>IFERROR(IF(#REF!="IN",#REF!,IF(#REF!="CN",#REF!,"")),"")</f>
        <v/>
      </c>
    </row>
    <row r="48" spans="1:18">
      <c r="A48" t="s">
        <v>107</v>
      </c>
      <c r="B48" t="s">
        <v>12</v>
      </c>
      <c r="C48">
        <v>140016500</v>
      </c>
      <c r="D48" s="1">
        <v>45612</v>
      </c>
      <c r="E48">
        <v>3007.86</v>
      </c>
      <c r="F48">
        <v>0</v>
      </c>
      <c r="G48">
        <v>700002149</v>
      </c>
      <c r="H48" s="1">
        <v>45628</v>
      </c>
      <c r="I48">
        <f>YEAR(Table1[[#This Row],[Posting Date]])</f>
        <v>2024</v>
      </c>
      <c r="J48">
        <f>MONTH(Table1[[#This Row],[Posting Date]])</f>
        <v>11</v>
      </c>
      <c r="K48" t="str">
        <f>IF(Table1[[#This Row],[Type]]="IN",VLOOKUP(Table1[[#This Row],[Cust '#]],ClientInfo!$A:$D,4,0),"")</f>
        <v>NET30</v>
      </c>
      <c r="L48" s="1">
        <f>IF(K48="NET30",Table1[[#This Row],[Posting Date]]+30,IF(K48="NET15",Table1[[#This Row],[Posting Date]]+15,IF(K48="COD",Table1[[#This Row],[Posting Date]],"")))</f>
        <v>45642</v>
      </c>
      <c r="M48" s="4">
        <f>IFERROR(IF(Table1[[#This Row],[Type]]="IN",Table1[[#This Row],[RC Date]]-Table1[[#This Row],[Posting Date]],""),"")</f>
        <v>16</v>
      </c>
      <c r="N48">
        <f>IFERROR(IF(Table1[[#This Row],[Balance Due (LC)]]&lt;&gt;0,$S$1-L48,0),"")</f>
        <v>0</v>
      </c>
      <c r="O48">
        <f>IFERROR(IF(Table1[[#This Row],[Type]]="IN",Table1[[#This Row],[C/D (LC)]],IF(Table1[[#This Row],[Type]]="CN",Table1[[#This Row],[C/D (LC)]],"")),"")</f>
        <v>3007.86</v>
      </c>
      <c r="P48" t="str">
        <f>VLOOKUP(Table1[[#This Row],[Cust '#]],ClientInfo!$A:$B,2,0)</f>
        <v>Client_01</v>
      </c>
      <c r="Q48" t="str">
        <f>IFERROR(IF(#REF!&lt;&gt;0,$S$1-P48,0),"")</f>
        <v/>
      </c>
      <c r="R48" t="str">
        <f>IFERROR(IF(#REF!="IN",#REF!,IF(#REF!="CN",#REF!,"")),"")</f>
        <v/>
      </c>
    </row>
    <row r="49" spans="1:18">
      <c r="A49" t="s">
        <v>107</v>
      </c>
      <c r="B49" t="s">
        <v>12</v>
      </c>
      <c r="C49">
        <v>140017130</v>
      </c>
      <c r="D49" s="1">
        <v>45626</v>
      </c>
      <c r="E49">
        <v>1702.3</v>
      </c>
      <c r="F49">
        <v>0</v>
      </c>
      <c r="G49">
        <v>700002323</v>
      </c>
      <c r="H49" s="1">
        <v>45646</v>
      </c>
      <c r="I49">
        <f>YEAR(Table1[[#This Row],[Posting Date]])</f>
        <v>2024</v>
      </c>
      <c r="J49">
        <f>MONTH(Table1[[#This Row],[Posting Date]])</f>
        <v>11</v>
      </c>
      <c r="K49" t="str">
        <f>IF(Table1[[#This Row],[Type]]="IN",VLOOKUP(Table1[[#This Row],[Cust '#]],ClientInfo!$A:$D,4,0),"")</f>
        <v>NET30</v>
      </c>
      <c r="L49" s="1">
        <f>IF(K49="NET30",Table1[[#This Row],[Posting Date]]+30,IF(K49="NET15",Table1[[#This Row],[Posting Date]]+15,IF(K49="COD",Table1[[#This Row],[Posting Date]],"")))</f>
        <v>45656</v>
      </c>
      <c r="M49" s="4">
        <f>IFERROR(IF(Table1[[#This Row],[Type]]="IN",Table1[[#This Row],[RC Date]]-Table1[[#This Row],[Posting Date]],""),"")</f>
        <v>20</v>
      </c>
      <c r="N49">
        <f>IFERROR(IF(Table1[[#This Row],[Balance Due (LC)]]&lt;&gt;0,$S$1-L49,0),"")</f>
        <v>0</v>
      </c>
      <c r="O49">
        <f>IFERROR(IF(Table1[[#This Row],[Type]]="IN",Table1[[#This Row],[C/D (LC)]],IF(Table1[[#This Row],[Type]]="CN",Table1[[#This Row],[C/D (LC)]],"")),"")</f>
        <v>1702.3</v>
      </c>
      <c r="P49" t="str">
        <f>VLOOKUP(Table1[[#This Row],[Cust '#]],ClientInfo!$A:$B,2,0)</f>
        <v>Client_01</v>
      </c>
      <c r="Q49" t="str">
        <f>IFERROR(IF(#REF!&lt;&gt;0,$S$1-P49,0),"")</f>
        <v/>
      </c>
      <c r="R49" t="str">
        <f>IFERROR(IF(#REF!="IN",#REF!,IF(#REF!="CN",#REF!,"")),"")</f>
        <v/>
      </c>
    </row>
    <row r="50" spans="1:18">
      <c r="A50" t="s">
        <v>107</v>
      </c>
      <c r="B50" t="s">
        <v>13</v>
      </c>
      <c r="C50">
        <v>150000732</v>
      </c>
      <c r="D50" s="1">
        <v>45626</v>
      </c>
      <c r="E50">
        <v>-133</v>
      </c>
      <c r="F50">
        <v>0</v>
      </c>
      <c r="G50">
        <v>700002323</v>
      </c>
      <c r="H50" s="1">
        <v>45646</v>
      </c>
      <c r="I50">
        <f>YEAR(Table1[[#This Row],[Posting Date]])</f>
        <v>2024</v>
      </c>
      <c r="J50">
        <f>MONTH(Table1[[#This Row],[Posting Date]])</f>
        <v>11</v>
      </c>
      <c r="K50" t="str">
        <f>IF(Table1[[#This Row],[Type]]="IN",VLOOKUP(Table1[[#This Row],[Cust '#]],ClientInfo!$A:$D,4,0),"")</f>
        <v/>
      </c>
      <c r="L50" s="1" t="str">
        <f>IF(K50="NET30",Table1[[#This Row],[Posting Date]]+30,IF(K50="NET15",Table1[[#This Row],[Posting Date]]+15,IF(K50="COD",Table1[[#This Row],[Posting Date]],"")))</f>
        <v/>
      </c>
      <c r="M50" s="4" t="str">
        <f>IFERROR(IF(Table1[[#This Row],[Type]]="IN",Table1[[#This Row],[RC Date]]-Table1[[#This Row],[Posting Date]],""),"")</f>
        <v/>
      </c>
      <c r="N50">
        <f>IFERROR(IF(Table1[[#This Row],[Balance Due (LC)]]&lt;&gt;0,$S$1-L50,0),"")</f>
        <v>0</v>
      </c>
      <c r="O50">
        <f>IFERROR(IF(Table1[[#This Row],[Type]]="IN",Table1[[#This Row],[C/D (LC)]],IF(Table1[[#This Row],[Type]]="CN",Table1[[#This Row],[C/D (LC)]],"")),"")</f>
        <v>-133</v>
      </c>
      <c r="P50" t="str">
        <f>VLOOKUP(Table1[[#This Row],[Cust '#]],ClientInfo!$A:$B,2,0)</f>
        <v>Client_01</v>
      </c>
      <c r="Q50" t="str">
        <f>IFERROR(IF(#REF!&lt;&gt;0,$S$1-P50,0),"")</f>
        <v/>
      </c>
      <c r="R50" t="str">
        <f>IFERROR(IF(#REF!="IN",#REF!,IF(#REF!="CN",#REF!,"")),"")</f>
        <v/>
      </c>
    </row>
    <row r="51" spans="1:18">
      <c r="A51" t="s">
        <v>107</v>
      </c>
      <c r="B51" t="s">
        <v>10</v>
      </c>
      <c r="C51">
        <v>700002149</v>
      </c>
      <c r="D51" s="1">
        <v>45628</v>
      </c>
      <c r="E51">
        <v>-2979.86</v>
      </c>
      <c r="F51">
        <v>0</v>
      </c>
      <c r="G51">
        <v>700002149</v>
      </c>
      <c r="H51" s="1">
        <v>45628</v>
      </c>
      <c r="I51">
        <f>YEAR(Table1[[#This Row],[Posting Date]])</f>
        <v>2024</v>
      </c>
      <c r="J51">
        <f>MONTH(Table1[[#This Row],[Posting Date]])</f>
        <v>12</v>
      </c>
      <c r="K51" t="str">
        <f>IF(Table1[[#This Row],[Type]]="IN",VLOOKUP(Table1[[#This Row],[Cust '#]],ClientInfo!$A:$D,4,0),"")</f>
        <v/>
      </c>
      <c r="L51" s="1" t="str">
        <f>IF(K51="NET30",Table1[[#This Row],[Posting Date]]+30,IF(K51="NET15",Table1[[#This Row],[Posting Date]]+15,IF(K51="COD",Table1[[#This Row],[Posting Date]],"")))</f>
        <v/>
      </c>
      <c r="M51" s="4" t="str">
        <f>IFERROR(IF(Table1[[#This Row],[Type]]="IN",Table1[[#This Row],[RC Date]]-Table1[[#This Row],[Posting Date]],""),"")</f>
        <v/>
      </c>
      <c r="N51">
        <f>IFERROR(IF(Table1[[#This Row],[Balance Due (LC)]]&lt;&gt;0,$S$1-L51,0),"")</f>
        <v>0</v>
      </c>
      <c r="O51" t="str">
        <f>IFERROR(IF(Table1[[#This Row],[Type]]="IN",Table1[[#This Row],[C/D (LC)]],IF(Table1[[#This Row],[Type]]="CN",Table1[[#This Row],[C/D (LC)]],"")),"")</f>
        <v/>
      </c>
      <c r="P51" t="str">
        <f>VLOOKUP(Table1[[#This Row],[Cust '#]],ClientInfo!$A:$B,2,0)</f>
        <v>Client_01</v>
      </c>
      <c r="Q51" t="str">
        <f>IFERROR(IF(#REF!&lt;&gt;0,$S$1-P51,0),"")</f>
        <v/>
      </c>
      <c r="R51" t="str">
        <f>IFERROR(IF(#REF!="IN",#REF!,IF(#REF!="CN",#REF!,"")),"")</f>
        <v/>
      </c>
    </row>
    <row r="52" spans="1:18">
      <c r="A52" t="s">
        <v>107</v>
      </c>
      <c r="B52" t="s">
        <v>10</v>
      </c>
      <c r="C52">
        <v>700002323</v>
      </c>
      <c r="D52" s="1">
        <v>45646</v>
      </c>
      <c r="E52">
        <v>-1569.3</v>
      </c>
      <c r="F52">
        <v>0</v>
      </c>
      <c r="G52">
        <v>700002323</v>
      </c>
      <c r="H52" s="1">
        <v>45646</v>
      </c>
      <c r="I52">
        <f>YEAR(Table1[[#This Row],[Posting Date]])</f>
        <v>2024</v>
      </c>
      <c r="J52">
        <f>MONTH(Table1[[#This Row],[Posting Date]])</f>
        <v>12</v>
      </c>
      <c r="K52" t="str">
        <f>IF(Table1[[#This Row],[Type]]="IN",VLOOKUP(Table1[[#This Row],[Cust '#]],ClientInfo!$A:$D,4,0),"")</f>
        <v/>
      </c>
      <c r="L52" s="1" t="str">
        <f>IF(K52="NET30",Table1[[#This Row],[Posting Date]]+30,IF(K52="NET15",Table1[[#This Row],[Posting Date]]+15,IF(K52="COD",Table1[[#This Row],[Posting Date]],"")))</f>
        <v/>
      </c>
      <c r="M52" s="4" t="str">
        <f>IFERROR(IF(Table1[[#This Row],[Type]]="IN",Table1[[#This Row],[RC Date]]-Table1[[#This Row],[Posting Date]],""),"")</f>
        <v/>
      </c>
      <c r="N52">
        <f>IFERROR(IF(Table1[[#This Row],[Balance Due (LC)]]&lt;&gt;0,$S$1-L52,0),"")</f>
        <v>0</v>
      </c>
      <c r="O52" t="str">
        <f>IFERROR(IF(Table1[[#This Row],[Type]]="IN",Table1[[#This Row],[C/D (LC)]],IF(Table1[[#This Row],[Type]]="CN",Table1[[#This Row],[C/D (LC)]],"")),"")</f>
        <v/>
      </c>
      <c r="P52" t="str">
        <f>VLOOKUP(Table1[[#This Row],[Cust '#]],ClientInfo!$A:$B,2,0)</f>
        <v>Client_01</v>
      </c>
      <c r="Q52" t="str">
        <f>IFERROR(IF(#REF!&lt;&gt;0,$S$1-P52,0),"")</f>
        <v/>
      </c>
      <c r="R52" t="str">
        <f>IFERROR(IF(#REF!="IN",#REF!,IF(#REF!="CN",#REF!,"")),"")</f>
        <v/>
      </c>
    </row>
    <row r="53" spans="1:18">
      <c r="A53" t="s">
        <v>107</v>
      </c>
      <c r="B53" t="s">
        <v>12</v>
      </c>
      <c r="C53">
        <v>140018121</v>
      </c>
      <c r="D53" s="1">
        <v>45647</v>
      </c>
      <c r="E53">
        <v>2777.86</v>
      </c>
      <c r="F53">
        <v>0</v>
      </c>
      <c r="G53">
        <v>700002409</v>
      </c>
      <c r="H53" s="1">
        <v>45659</v>
      </c>
      <c r="I53">
        <f>YEAR(Table1[[#This Row],[Posting Date]])</f>
        <v>2024</v>
      </c>
      <c r="J53">
        <f>MONTH(Table1[[#This Row],[Posting Date]])</f>
        <v>12</v>
      </c>
      <c r="K53" t="str">
        <f>IF(Table1[[#This Row],[Type]]="IN",VLOOKUP(Table1[[#This Row],[Cust '#]],ClientInfo!$A:$D,4,0),"")</f>
        <v>NET30</v>
      </c>
      <c r="L53" s="1">
        <f>IF(K53="NET30",Table1[[#This Row],[Posting Date]]+30,IF(K53="NET15",Table1[[#This Row],[Posting Date]]+15,IF(K53="COD",Table1[[#This Row],[Posting Date]],"")))</f>
        <v>45677</v>
      </c>
      <c r="M53" s="4">
        <f>IFERROR(IF(Table1[[#This Row],[Type]]="IN",Table1[[#This Row],[RC Date]]-Table1[[#This Row],[Posting Date]],""),"")</f>
        <v>12</v>
      </c>
      <c r="N53">
        <f>IFERROR(IF(Table1[[#This Row],[Balance Due (LC)]]&lt;&gt;0,$S$1-L53,0),"")</f>
        <v>0</v>
      </c>
      <c r="O53">
        <f>IFERROR(IF(Table1[[#This Row],[Type]]="IN",Table1[[#This Row],[C/D (LC)]],IF(Table1[[#This Row],[Type]]="CN",Table1[[#This Row],[C/D (LC)]],"")),"")</f>
        <v>2777.86</v>
      </c>
      <c r="P53" t="str">
        <f>VLOOKUP(Table1[[#This Row],[Cust '#]],ClientInfo!$A:$B,2,0)</f>
        <v>Client_01</v>
      </c>
      <c r="Q53" t="str">
        <f>IFERROR(IF(#REF!&lt;&gt;0,$S$1-P53,0),"")</f>
        <v/>
      </c>
      <c r="R53" t="str">
        <f>IFERROR(IF(#REF!="IN",#REF!,IF(#REF!="CN",#REF!,"")),"")</f>
        <v/>
      </c>
    </row>
    <row r="54" spans="1:18">
      <c r="A54" t="s">
        <v>107</v>
      </c>
      <c r="B54" t="s">
        <v>13</v>
      </c>
      <c r="C54">
        <v>150000800</v>
      </c>
      <c r="D54" s="1">
        <v>45657</v>
      </c>
      <c r="E54">
        <v>-82.4</v>
      </c>
      <c r="F54">
        <v>0</v>
      </c>
      <c r="G54">
        <v>700002520</v>
      </c>
      <c r="H54" s="1">
        <v>45674</v>
      </c>
      <c r="I54">
        <f>YEAR(Table1[[#This Row],[Posting Date]])</f>
        <v>2024</v>
      </c>
      <c r="J54">
        <f>MONTH(Table1[[#This Row],[Posting Date]])</f>
        <v>12</v>
      </c>
      <c r="K54" t="str">
        <f>IF(Table1[[#This Row],[Type]]="IN",VLOOKUP(Table1[[#This Row],[Cust '#]],ClientInfo!$A:$D,4,0),"")</f>
        <v/>
      </c>
      <c r="L54" s="1" t="str">
        <f>IF(K54="NET30",Table1[[#This Row],[Posting Date]]+30,IF(K54="NET15",Table1[[#This Row],[Posting Date]]+15,IF(K54="COD",Table1[[#This Row],[Posting Date]],"")))</f>
        <v/>
      </c>
      <c r="M54" s="4" t="str">
        <f>IFERROR(IF(Table1[[#This Row],[Type]]="IN",Table1[[#This Row],[RC Date]]-Table1[[#This Row],[Posting Date]],""),"")</f>
        <v/>
      </c>
      <c r="N54">
        <f>IFERROR(IF(Table1[[#This Row],[Balance Due (LC)]]&lt;&gt;0,$S$1-L54,0),"")</f>
        <v>0</v>
      </c>
      <c r="O54">
        <f>IFERROR(IF(Table1[[#This Row],[Type]]="IN",Table1[[#This Row],[C/D (LC)]],IF(Table1[[#This Row],[Type]]="CN",Table1[[#This Row],[C/D (LC)]],"")),"")</f>
        <v>-82.4</v>
      </c>
      <c r="P54" t="str">
        <f>VLOOKUP(Table1[[#This Row],[Cust '#]],ClientInfo!$A:$B,2,0)</f>
        <v>Client_01</v>
      </c>
      <c r="Q54" t="str">
        <f>IFERROR(IF(#REF!&lt;&gt;0,$S$1-P54,0),"")</f>
        <v/>
      </c>
      <c r="R54" t="str">
        <f>IFERROR(IF(#REF!="IN",#REF!,IF(#REF!="CN",#REF!,"")),"")</f>
        <v/>
      </c>
    </row>
    <row r="55" spans="1:18">
      <c r="A55" t="s">
        <v>107</v>
      </c>
      <c r="B55" t="s">
        <v>10</v>
      </c>
      <c r="C55">
        <v>700002409</v>
      </c>
      <c r="D55" s="1">
        <v>45659</v>
      </c>
      <c r="E55">
        <v>-2777.86</v>
      </c>
      <c r="F55">
        <v>0</v>
      </c>
      <c r="G55">
        <v>700002409</v>
      </c>
      <c r="H55" s="1">
        <v>45659</v>
      </c>
      <c r="I55">
        <f>YEAR(Table1[[#This Row],[Posting Date]])</f>
        <v>2025</v>
      </c>
      <c r="J55">
        <f>MONTH(Table1[[#This Row],[Posting Date]])</f>
        <v>1</v>
      </c>
      <c r="K55" t="str">
        <f>IF(Table1[[#This Row],[Type]]="IN",VLOOKUP(Table1[[#This Row],[Cust '#]],ClientInfo!$A:$D,4,0),"")</f>
        <v/>
      </c>
      <c r="L55" s="1" t="str">
        <f>IF(K55="NET30",Table1[[#This Row],[Posting Date]]+30,IF(K55="NET15",Table1[[#This Row],[Posting Date]]+15,IF(K55="COD",Table1[[#This Row],[Posting Date]],"")))</f>
        <v/>
      </c>
      <c r="M55" s="4" t="str">
        <f>IFERROR(IF(Table1[[#This Row],[Type]]="IN",Table1[[#This Row],[RC Date]]-Table1[[#This Row],[Posting Date]],""),"")</f>
        <v/>
      </c>
      <c r="N55">
        <f>IFERROR(IF(Table1[[#This Row],[Balance Due (LC)]]&lt;&gt;0,$S$1-L55,0),"")</f>
        <v>0</v>
      </c>
      <c r="O55" t="str">
        <f>IFERROR(IF(Table1[[#This Row],[Type]]="IN",Table1[[#This Row],[C/D (LC)]],IF(Table1[[#This Row],[Type]]="CN",Table1[[#This Row],[C/D (LC)]],"")),"")</f>
        <v/>
      </c>
      <c r="P55" t="str">
        <f>VLOOKUP(Table1[[#This Row],[Cust '#]],ClientInfo!$A:$B,2,0)</f>
        <v>Client_01</v>
      </c>
      <c r="Q55" t="str">
        <f>IFERROR(IF(#REF!&lt;&gt;0,$S$1-P55,0),"")</f>
        <v/>
      </c>
      <c r="R55" t="str">
        <f>IFERROR(IF(#REF!="IN",#REF!,IF(#REF!="CN",#REF!,"")),"")</f>
        <v/>
      </c>
    </row>
    <row r="56" spans="1:18">
      <c r="A56" t="s">
        <v>107</v>
      </c>
      <c r="B56" t="s">
        <v>12</v>
      </c>
      <c r="C56">
        <v>140018744</v>
      </c>
      <c r="D56" s="1">
        <v>45661</v>
      </c>
      <c r="E56">
        <v>3753.6</v>
      </c>
      <c r="F56">
        <v>0</v>
      </c>
      <c r="G56">
        <v>700002520</v>
      </c>
      <c r="H56" s="1">
        <v>45674</v>
      </c>
      <c r="I56">
        <f>YEAR(Table1[[#This Row],[Posting Date]])</f>
        <v>2025</v>
      </c>
      <c r="J56">
        <f>MONTH(Table1[[#This Row],[Posting Date]])</f>
        <v>1</v>
      </c>
      <c r="K56" t="str">
        <f>IF(Table1[[#This Row],[Type]]="IN",VLOOKUP(Table1[[#This Row],[Cust '#]],ClientInfo!$A:$D,4,0),"")</f>
        <v>NET30</v>
      </c>
      <c r="L56" s="1">
        <f>IF(K56="NET30",Table1[[#This Row],[Posting Date]]+30,IF(K56="NET15",Table1[[#This Row],[Posting Date]]+15,IF(K56="COD",Table1[[#This Row],[Posting Date]],"")))</f>
        <v>45691</v>
      </c>
      <c r="M56" s="4">
        <f>IFERROR(IF(Table1[[#This Row],[Type]]="IN",Table1[[#This Row],[RC Date]]-Table1[[#This Row],[Posting Date]],""),"")</f>
        <v>13</v>
      </c>
      <c r="N56">
        <f>IFERROR(IF(Table1[[#This Row],[Balance Due (LC)]]&lt;&gt;0,$S$1-L56,0),"")</f>
        <v>0</v>
      </c>
      <c r="O56">
        <f>IFERROR(IF(Table1[[#This Row],[Type]]="IN",Table1[[#This Row],[C/D (LC)]],IF(Table1[[#This Row],[Type]]="CN",Table1[[#This Row],[C/D (LC)]],"")),"")</f>
        <v>3753.6</v>
      </c>
      <c r="P56" t="str">
        <f>VLOOKUP(Table1[[#This Row],[Cust '#]],ClientInfo!$A:$B,2,0)</f>
        <v>Client_01</v>
      </c>
      <c r="Q56" t="str">
        <f>IFERROR(IF(#REF!&lt;&gt;0,$S$1-P56,0),"")</f>
        <v/>
      </c>
      <c r="R56" t="str">
        <f>IFERROR(IF(#REF!="IN",#REF!,IF(#REF!="CN",#REF!,"")),"")</f>
        <v/>
      </c>
    </row>
    <row r="57" spans="1:18">
      <c r="A57" t="s">
        <v>107</v>
      </c>
      <c r="B57" t="s">
        <v>10</v>
      </c>
      <c r="C57">
        <v>700002520</v>
      </c>
      <c r="D57" s="1">
        <v>45674</v>
      </c>
      <c r="E57">
        <v>-3671.2</v>
      </c>
      <c r="F57">
        <v>0</v>
      </c>
      <c r="G57">
        <v>700002520</v>
      </c>
      <c r="H57" s="1">
        <v>45674</v>
      </c>
      <c r="I57">
        <f>YEAR(Table1[[#This Row],[Posting Date]])</f>
        <v>2025</v>
      </c>
      <c r="J57">
        <f>MONTH(Table1[[#This Row],[Posting Date]])</f>
        <v>1</v>
      </c>
      <c r="K57" t="str">
        <f>IF(Table1[[#This Row],[Type]]="IN",VLOOKUP(Table1[[#This Row],[Cust '#]],ClientInfo!$A:$D,4,0),"")</f>
        <v/>
      </c>
      <c r="L57" s="1" t="str">
        <f>IF(K57="NET30",Table1[[#This Row],[Posting Date]]+30,IF(K57="NET15",Table1[[#This Row],[Posting Date]]+15,IF(K57="COD",Table1[[#This Row],[Posting Date]],"")))</f>
        <v/>
      </c>
      <c r="M57" s="4" t="str">
        <f>IFERROR(IF(Table1[[#This Row],[Type]]="IN",Table1[[#This Row],[RC Date]]-Table1[[#This Row],[Posting Date]],""),"")</f>
        <v/>
      </c>
      <c r="N57">
        <f>IFERROR(IF(Table1[[#This Row],[Balance Due (LC)]]&lt;&gt;0,$S$1-L57,0),"")</f>
        <v>0</v>
      </c>
      <c r="O57" t="str">
        <f>IFERROR(IF(Table1[[#This Row],[Type]]="IN",Table1[[#This Row],[C/D (LC)]],IF(Table1[[#This Row],[Type]]="CN",Table1[[#This Row],[C/D (LC)]],"")),"")</f>
        <v/>
      </c>
      <c r="P57" t="str">
        <f>VLOOKUP(Table1[[#This Row],[Cust '#]],ClientInfo!$A:$B,2,0)</f>
        <v>Client_01</v>
      </c>
      <c r="Q57" t="str">
        <f>IFERROR(IF(#REF!&lt;&gt;0,$S$1-P57,0),"")</f>
        <v/>
      </c>
      <c r="R57" t="str">
        <f>IFERROR(IF(#REF!="IN",#REF!,IF(#REF!="CN",#REF!,"")),"")</f>
        <v/>
      </c>
    </row>
    <row r="58" spans="1:18">
      <c r="A58" t="s">
        <v>107</v>
      </c>
      <c r="B58" t="s">
        <v>12</v>
      </c>
      <c r="C58">
        <v>140019402</v>
      </c>
      <c r="D58" s="1">
        <v>45675</v>
      </c>
      <c r="E58">
        <v>4170.3999999999996</v>
      </c>
      <c r="F58">
        <v>0</v>
      </c>
      <c r="G58">
        <v>700002600</v>
      </c>
      <c r="H58" s="1">
        <v>45686</v>
      </c>
      <c r="I58">
        <f>YEAR(Table1[[#This Row],[Posting Date]])</f>
        <v>2025</v>
      </c>
      <c r="J58">
        <f>MONTH(Table1[[#This Row],[Posting Date]])</f>
        <v>1</v>
      </c>
      <c r="K58" t="str">
        <f>IF(Table1[[#This Row],[Type]]="IN",VLOOKUP(Table1[[#This Row],[Cust '#]],ClientInfo!$A:$D,4,0),"")</f>
        <v>NET30</v>
      </c>
      <c r="L58" s="1">
        <f>IF(K58="NET30",Table1[[#This Row],[Posting Date]]+30,IF(K58="NET15",Table1[[#This Row],[Posting Date]]+15,IF(K58="COD",Table1[[#This Row],[Posting Date]],"")))</f>
        <v>45705</v>
      </c>
      <c r="M58" s="4">
        <f>IFERROR(IF(Table1[[#This Row],[Type]]="IN",Table1[[#This Row],[RC Date]]-Table1[[#This Row],[Posting Date]],""),"")</f>
        <v>11</v>
      </c>
      <c r="N58">
        <f>IFERROR(IF(Table1[[#This Row],[Balance Due (LC)]]&lt;&gt;0,$S$1-L58,0),"")</f>
        <v>0</v>
      </c>
      <c r="O58">
        <f>IFERROR(IF(Table1[[#This Row],[Type]]="IN",Table1[[#This Row],[C/D (LC)]],IF(Table1[[#This Row],[Type]]="CN",Table1[[#This Row],[C/D (LC)]],"")),"")</f>
        <v>4170.3999999999996</v>
      </c>
      <c r="P58" t="str">
        <f>VLOOKUP(Table1[[#This Row],[Cust '#]],ClientInfo!$A:$B,2,0)</f>
        <v>Client_01</v>
      </c>
      <c r="Q58" t="str">
        <f>IFERROR(IF(#REF!&lt;&gt;0,$S$1-P58,0),"")</f>
        <v/>
      </c>
      <c r="R58" t="str">
        <f>IFERROR(IF(#REF!="IN",#REF!,IF(#REF!="CN",#REF!,"")),"")</f>
        <v/>
      </c>
    </row>
    <row r="59" spans="1:18">
      <c r="A59" t="s">
        <v>107</v>
      </c>
      <c r="B59" t="s">
        <v>12</v>
      </c>
      <c r="C59">
        <v>700002600</v>
      </c>
      <c r="D59" s="1">
        <v>45686</v>
      </c>
      <c r="E59">
        <v>-4170.3999999999996</v>
      </c>
      <c r="F59">
        <v>0</v>
      </c>
      <c r="G59">
        <v>700002600</v>
      </c>
      <c r="H59" s="1">
        <v>45686</v>
      </c>
      <c r="I59">
        <f>YEAR(Table1[[#This Row],[Posting Date]])</f>
        <v>2025</v>
      </c>
      <c r="J59">
        <f>MONTH(Table1[[#This Row],[Posting Date]])</f>
        <v>1</v>
      </c>
      <c r="K59" t="str">
        <f>IF(Table1[[#This Row],[Type]]="IN",VLOOKUP(Table1[[#This Row],[Cust '#]],ClientInfo!$A:$D,4,0),"")</f>
        <v>NET30</v>
      </c>
      <c r="L59" s="1">
        <f>IF(K59="NET30",Table1[[#This Row],[Posting Date]]+30,IF(K59="NET15",Table1[[#This Row],[Posting Date]]+15,IF(K59="COD",Table1[[#This Row],[Posting Date]],"")))</f>
        <v>45716</v>
      </c>
      <c r="M59" s="4">
        <f>IFERROR(IF(Table1[[#This Row],[Type]]="IN",Table1[[#This Row],[RC Date]]-Table1[[#This Row],[Posting Date]],""),"")</f>
        <v>0</v>
      </c>
      <c r="N59">
        <f>IFERROR(IF(Table1[[#This Row],[Balance Due (LC)]]&lt;&gt;0,$S$1-L59,0),"")</f>
        <v>0</v>
      </c>
      <c r="O59">
        <f>IFERROR(IF(Table1[[#This Row],[Type]]="IN",Table1[[#This Row],[C/D (LC)]],IF(Table1[[#This Row],[Type]]="CN",Table1[[#This Row],[C/D (LC)]],"")),"")</f>
        <v>-4170.3999999999996</v>
      </c>
      <c r="P59" t="str">
        <f>VLOOKUP(Table1[[#This Row],[Cust '#]],ClientInfo!$A:$B,2,0)</f>
        <v>Client_01</v>
      </c>
      <c r="Q59" t="str">
        <f>IFERROR(IF(#REF!&lt;&gt;0,$S$1-P59,0),"")</f>
        <v/>
      </c>
      <c r="R59" t="str">
        <f>IFERROR(IF(#REF!="IN",#REF!,IF(#REF!="CN",#REF!,"")),"")</f>
        <v/>
      </c>
    </row>
    <row r="60" spans="1:18">
      <c r="A60" t="s">
        <v>107</v>
      </c>
      <c r="B60" t="s">
        <v>12</v>
      </c>
      <c r="C60">
        <v>140020060</v>
      </c>
      <c r="D60" s="1">
        <v>45688</v>
      </c>
      <c r="E60">
        <v>1587.6</v>
      </c>
      <c r="F60">
        <v>0</v>
      </c>
      <c r="G60">
        <v>700002722</v>
      </c>
      <c r="H60" s="1">
        <v>45700</v>
      </c>
      <c r="I60">
        <f>YEAR(Table1[[#This Row],[Posting Date]])</f>
        <v>2025</v>
      </c>
      <c r="J60">
        <f>MONTH(Table1[[#This Row],[Posting Date]])</f>
        <v>1</v>
      </c>
      <c r="K60" t="str">
        <f>IF(Table1[[#This Row],[Type]]="IN",VLOOKUP(Table1[[#This Row],[Cust '#]],ClientInfo!$A:$D,4,0),"")</f>
        <v>NET30</v>
      </c>
      <c r="L60" s="1">
        <f>IF(K60="NET30",Table1[[#This Row],[Posting Date]]+30,IF(K60="NET15",Table1[[#This Row],[Posting Date]]+15,IF(K60="COD",Table1[[#This Row],[Posting Date]],"")))</f>
        <v>45718</v>
      </c>
      <c r="M60" s="4">
        <f>IFERROR(IF(Table1[[#This Row],[Type]]="IN",Table1[[#This Row],[RC Date]]-Table1[[#This Row],[Posting Date]],""),"")</f>
        <v>12</v>
      </c>
      <c r="N60">
        <f>IFERROR(IF(Table1[[#This Row],[Balance Due (LC)]]&lt;&gt;0,$S$1-L60,0),"")</f>
        <v>0</v>
      </c>
      <c r="O60">
        <f>IFERROR(IF(Table1[[#This Row],[Type]]="IN",Table1[[#This Row],[C/D (LC)]],IF(Table1[[#This Row],[Type]]="CN",Table1[[#This Row],[C/D (LC)]],"")),"")</f>
        <v>1587.6</v>
      </c>
      <c r="P60" t="str">
        <f>VLOOKUP(Table1[[#This Row],[Cust '#]],ClientInfo!$A:$B,2,0)</f>
        <v>Client_01</v>
      </c>
      <c r="Q60" t="str">
        <f>IFERROR(IF(#REF!&lt;&gt;0,$S$1-P60,0),"")</f>
        <v/>
      </c>
      <c r="R60" t="str">
        <f>IFERROR(IF(#REF!="IN",#REF!,IF(#REF!="CN",#REF!,"")),"")</f>
        <v/>
      </c>
    </row>
    <row r="61" spans="1:18">
      <c r="A61" t="s">
        <v>107</v>
      </c>
      <c r="B61" t="s">
        <v>12</v>
      </c>
      <c r="C61">
        <v>140020075</v>
      </c>
      <c r="D61" s="1">
        <v>45689</v>
      </c>
      <c r="E61">
        <v>475.58</v>
      </c>
      <c r="F61">
        <v>0</v>
      </c>
      <c r="G61">
        <v>700002722</v>
      </c>
      <c r="H61" s="1">
        <v>45700</v>
      </c>
      <c r="I61">
        <f>YEAR(Table1[[#This Row],[Posting Date]])</f>
        <v>2025</v>
      </c>
      <c r="J61">
        <f>MONTH(Table1[[#This Row],[Posting Date]])</f>
        <v>2</v>
      </c>
      <c r="K61" t="str">
        <f>IF(Table1[[#This Row],[Type]]="IN",VLOOKUP(Table1[[#This Row],[Cust '#]],ClientInfo!$A:$D,4,0),"")</f>
        <v>NET30</v>
      </c>
      <c r="L61" s="1">
        <f>IF(K61="NET30",Table1[[#This Row],[Posting Date]]+30,IF(K61="NET15",Table1[[#This Row],[Posting Date]]+15,IF(K61="COD",Table1[[#This Row],[Posting Date]],"")))</f>
        <v>45719</v>
      </c>
      <c r="M61" s="4">
        <f>IFERROR(IF(Table1[[#This Row],[Type]]="IN",Table1[[#This Row],[RC Date]]-Table1[[#This Row],[Posting Date]],""),"")</f>
        <v>11</v>
      </c>
      <c r="N61">
        <f>IFERROR(IF(Table1[[#This Row],[Balance Due (LC)]]&lt;&gt;0,$S$1-L61,0),"")</f>
        <v>0</v>
      </c>
      <c r="O61">
        <f>IFERROR(IF(Table1[[#This Row],[Type]]="IN",Table1[[#This Row],[C/D (LC)]],IF(Table1[[#This Row],[Type]]="CN",Table1[[#This Row],[C/D (LC)]],"")),"")</f>
        <v>475.58</v>
      </c>
      <c r="P61" t="str">
        <f>VLOOKUP(Table1[[#This Row],[Cust '#]],ClientInfo!$A:$B,2,0)</f>
        <v>Client_01</v>
      </c>
      <c r="Q61" t="str">
        <f>IFERROR(IF(#REF!&lt;&gt;0,$S$1-P61,0),"")</f>
        <v/>
      </c>
      <c r="R61" t="str">
        <f>IFERROR(IF(#REF!="IN",#REF!,IF(#REF!="CN",#REF!,"")),"")</f>
        <v/>
      </c>
    </row>
    <row r="62" spans="1:18">
      <c r="A62" t="s">
        <v>107</v>
      </c>
      <c r="B62" t="s">
        <v>13</v>
      </c>
      <c r="C62">
        <v>150000880</v>
      </c>
      <c r="D62" s="1">
        <v>45692</v>
      </c>
      <c r="E62">
        <v>-187.6</v>
      </c>
      <c r="F62">
        <v>0</v>
      </c>
      <c r="G62">
        <v>700002722</v>
      </c>
      <c r="H62" s="1">
        <v>45700</v>
      </c>
      <c r="I62">
        <f>YEAR(Table1[[#This Row],[Posting Date]])</f>
        <v>2025</v>
      </c>
      <c r="J62">
        <f>MONTH(Table1[[#This Row],[Posting Date]])</f>
        <v>2</v>
      </c>
      <c r="K62" t="str">
        <f>IF(Table1[[#This Row],[Type]]="IN",VLOOKUP(Table1[[#This Row],[Cust '#]],ClientInfo!$A:$D,4,0),"")</f>
        <v/>
      </c>
      <c r="L62" s="1" t="str">
        <f>IF(K62="NET30",Table1[[#This Row],[Posting Date]]+30,IF(K62="NET15",Table1[[#This Row],[Posting Date]]+15,IF(K62="COD",Table1[[#This Row],[Posting Date]],"")))</f>
        <v/>
      </c>
      <c r="M62" s="4" t="str">
        <f>IFERROR(IF(Table1[[#This Row],[Type]]="IN",Table1[[#This Row],[RC Date]]-Table1[[#This Row],[Posting Date]],""),"")</f>
        <v/>
      </c>
      <c r="N62">
        <f>IFERROR(IF(Table1[[#This Row],[Balance Due (LC)]]&lt;&gt;0,$S$1-L62,0),"")</f>
        <v>0</v>
      </c>
      <c r="O62">
        <f>IFERROR(IF(Table1[[#This Row],[Type]]="IN",Table1[[#This Row],[C/D (LC)]],IF(Table1[[#This Row],[Type]]="CN",Table1[[#This Row],[C/D (LC)]],"")),"")</f>
        <v>-187.6</v>
      </c>
      <c r="P62" t="str">
        <f>VLOOKUP(Table1[[#This Row],[Cust '#]],ClientInfo!$A:$B,2,0)</f>
        <v>Client_01</v>
      </c>
      <c r="Q62" t="str">
        <f>IFERROR(IF(#REF!&lt;&gt;0,$S$1-P62,0),"")</f>
        <v/>
      </c>
      <c r="R62" t="str">
        <f>IFERROR(IF(#REF!="IN",#REF!,IF(#REF!="CN",#REF!,"")),"")</f>
        <v/>
      </c>
    </row>
    <row r="63" spans="1:18">
      <c r="A63" t="s">
        <v>107</v>
      </c>
      <c r="B63" t="s">
        <v>12</v>
      </c>
      <c r="C63">
        <v>140020365</v>
      </c>
      <c r="D63" s="1">
        <v>45696</v>
      </c>
      <c r="E63">
        <v>2823.8</v>
      </c>
      <c r="F63">
        <v>0</v>
      </c>
      <c r="G63">
        <v>700002722</v>
      </c>
      <c r="H63" s="1">
        <v>45700</v>
      </c>
      <c r="I63">
        <f>YEAR(Table1[[#This Row],[Posting Date]])</f>
        <v>2025</v>
      </c>
      <c r="J63">
        <f>MONTH(Table1[[#This Row],[Posting Date]])</f>
        <v>2</v>
      </c>
      <c r="K63" t="str">
        <f>IF(Table1[[#This Row],[Type]]="IN",VLOOKUP(Table1[[#This Row],[Cust '#]],ClientInfo!$A:$D,4,0),"")</f>
        <v>NET30</v>
      </c>
      <c r="L63" s="1">
        <f>IF(K63="NET30",Table1[[#This Row],[Posting Date]]+30,IF(K63="NET15",Table1[[#This Row],[Posting Date]]+15,IF(K63="COD",Table1[[#This Row],[Posting Date]],"")))</f>
        <v>45726</v>
      </c>
      <c r="M63" s="4">
        <f>IFERROR(IF(Table1[[#This Row],[Type]]="IN",Table1[[#This Row],[RC Date]]-Table1[[#This Row],[Posting Date]],""),"")</f>
        <v>4</v>
      </c>
      <c r="N63">
        <f>IFERROR(IF(Table1[[#This Row],[Balance Due (LC)]]&lt;&gt;0,$S$1-L63,0),"")</f>
        <v>0</v>
      </c>
      <c r="O63">
        <f>IFERROR(IF(Table1[[#This Row],[Type]]="IN",Table1[[#This Row],[C/D (LC)]],IF(Table1[[#This Row],[Type]]="CN",Table1[[#This Row],[C/D (LC)]],"")),"")</f>
        <v>2823.8</v>
      </c>
      <c r="P63" t="str">
        <f>VLOOKUP(Table1[[#This Row],[Cust '#]],ClientInfo!$A:$B,2,0)</f>
        <v>Client_01</v>
      </c>
      <c r="Q63" t="str">
        <f>IFERROR(IF(#REF!&lt;&gt;0,$S$1-P63,0),"")</f>
        <v/>
      </c>
      <c r="R63" t="str">
        <f>IFERROR(IF(#REF!="IN",#REF!,IF(#REF!="CN",#REF!,"")),"")</f>
        <v/>
      </c>
    </row>
    <row r="64" spans="1:18">
      <c r="A64" t="s">
        <v>107</v>
      </c>
      <c r="B64" t="s">
        <v>10</v>
      </c>
      <c r="C64">
        <v>700002722</v>
      </c>
      <c r="D64" s="1">
        <v>45700</v>
      </c>
      <c r="E64">
        <v>-4699.38</v>
      </c>
      <c r="F64">
        <v>0</v>
      </c>
      <c r="G64">
        <v>700002722</v>
      </c>
      <c r="H64" s="1">
        <v>45700</v>
      </c>
      <c r="I64">
        <f>YEAR(Table1[[#This Row],[Posting Date]])</f>
        <v>2025</v>
      </c>
      <c r="J64">
        <f>MONTH(Table1[[#This Row],[Posting Date]])</f>
        <v>2</v>
      </c>
      <c r="K64" t="str">
        <f>IF(Table1[[#This Row],[Type]]="IN",VLOOKUP(Table1[[#This Row],[Cust '#]],ClientInfo!$A:$D,4,0),"")</f>
        <v/>
      </c>
      <c r="L64" s="1" t="str">
        <f>IF(K64="NET30",Table1[[#This Row],[Posting Date]]+30,IF(K64="NET15",Table1[[#This Row],[Posting Date]]+15,IF(K64="COD",Table1[[#This Row],[Posting Date]],"")))</f>
        <v/>
      </c>
      <c r="M64" s="4" t="str">
        <f>IFERROR(IF(Table1[[#This Row],[Type]]="IN",Table1[[#This Row],[RC Date]]-Table1[[#This Row],[Posting Date]],""),"")</f>
        <v/>
      </c>
      <c r="N64">
        <f>IFERROR(IF(Table1[[#This Row],[Balance Due (LC)]]&lt;&gt;0,$S$1-L64,0),"")</f>
        <v>0</v>
      </c>
      <c r="O64" t="str">
        <f>IFERROR(IF(Table1[[#This Row],[Type]]="IN",Table1[[#This Row],[C/D (LC)]],IF(Table1[[#This Row],[Type]]="CN",Table1[[#This Row],[C/D (LC)]],"")),"")</f>
        <v/>
      </c>
      <c r="P64" t="str">
        <f>VLOOKUP(Table1[[#This Row],[Cust '#]],ClientInfo!$A:$B,2,0)</f>
        <v>Client_01</v>
      </c>
      <c r="Q64" t="str">
        <f>IFERROR(IF(#REF!&lt;&gt;0,$S$1-P64,0),"")</f>
        <v/>
      </c>
      <c r="R64" t="str">
        <f>IFERROR(IF(#REF!="IN",#REF!,IF(#REF!="CN",#REF!,"")),"")</f>
        <v/>
      </c>
    </row>
    <row r="65" spans="1:18">
      <c r="A65" t="s">
        <v>107</v>
      </c>
      <c r="B65" t="s">
        <v>12</v>
      </c>
      <c r="C65">
        <v>140021015</v>
      </c>
      <c r="D65" s="1">
        <v>45710</v>
      </c>
      <c r="E65">
        <v>2635.3</v>
      </c>
      <c r="F65">
        <v>0</v>
      </c>
      <c r="G65">
        <v>700002836</v>
      </c>
      <c r="H65" s="1">
        <v>45715</v>
      </c>
      <c r="I65">
        <f>YEAR(Table1[[#This Row],[Posting Date]])</f>
        <v>2025</v>
      </c>
      <c r="J65">
        <f>MONTH(Table1[[#This Row],[Posting Date]])</f>
        <v>2</v>
      </c>
      <c r="K65" t="str">
        <f>IF(Table1[[#This Row],[Type]]="IN",VLOOKUP(Table1[[#This Row],[Cust '#]],ClientInfo!$A:$D,4,0),"")</f>
        <v>NET30</v>
      </c>
      <c r="L65" s="1">
        <f>IF(K65="NET30",Table1[[#This Row],[Posting Date]]+30,IF(K65="NET15",Table1[[#This Row],[Posting Date]]+15,IF(K65="COD",Table1[[#This Row],[Posting Date]],"")))</f>
        <v>45740</v>
      </c>
      <c r="M65" s="4">
        <f>IFERROR(IF(Table1[[#This Row],[Type]]="IN",Table1[[#This Row],[RC Date]]-Table1[[#This Row],[Posting Date]],""),"")</f>
        <v>5</v>
      </c>
      <c r="N65">
        <f>IFERROR(IF(Table1[[#This Row],[Balance Due (LC)]]&lt;&gt;0,$S$1-L65,0),"")</f>
        <v>0</v>
      </c>
      <c r="O65">
        <f>IFERROR(IF(Table1[[#This Row],[Type]]="IN",Table1[[#This Row],[C/D (LC)]],IF(Table1[[#This Row],[Type]]="CN",Table1[[#This Row],[C/D (LC)]],"")),"")</f>
        <v>2635.3</v>
      </c>
      <c r="P65" t="str">
        <f>VLOOKUP(Table1[[#This Row],[Cust '#]],ClientInfo!$A:$B,2,0)</f>
        <v>Client_01</v>
      </c>
      <c r="Q65" t="str">
        <f>IFERROR(IF(#REF!&lt;&gt;0,$S$1-P65,0),"")</f>
        <v/>
      </c>
      <c r="R65" t="str">
        <f>IFERROR(IF(#REF!="IN",#REF!,IF(#REF!="CN",#REF!,"")),"")</f>
        <v/>
      </c>
    </row>
    <row r="66" spans="1:18">
      <c r="A66" t="s">
        <v>107</v>
      </c>
      <c r="B66" t="s">
        <v>10</v>
      </c>
      <c r="C66">
        <v>700002836</v>
      </c>
      <c r="D66" s="1">
        <v>45715</v>
      </c>
      <c r="E66">
        <v>-2635.3</v>
      </c>
      <c r="F66">
        <v>0</v>
      </c>
      <c r="G66">
        <v>700002836</v>
      </c>
      <c r="H66" s="1">
        <v>45715</v>
      </c>
      <c r="I66">
        <f>YEAR(Table1[[#This Row],[Posting Date]])</f>
        <v>2025</v>
      </c>
      <c r="J66">
        <f>MONTH(Table1[[#This Row],[Posting Date]])</f>
        <v>2</v>
      </c>
      <c r="K66" t="str">
        <f>IF(Table1[[#This Row],[Type]]="IN",VLOOKUP(Table1[[#This Row],[Cust '#]],ClientInfo!$A:$D,4,0),"")</f>
        <v/>
      </c>
      <c r="L66" s="1" t="str">
        <f>IF(K66="NET30",Table1[[#This Row],[Posting Date]]+30,IF(K66="NET15",Table1[[#This Row],[Posting Date]]+15,IF(K66="COD",Table1[[#This Row],[Posting Date]],"")))</f>
        <v/>
      </c>
      <c r="M66" s="4" t="str">
        <f>IFERROR(IF(Table1[[#This Row],[Type]]="IN",Table1[[#This Row],[RC Date]]-Table1[[#This Row],[Posting Date]],""),"")</f>
        <v/>
      </c>
      <c r="N66">
        <f>IFERROR(IF(Table1[[#This Row],[Balance Due (LC)]]&lt;&gt;0,$S$1-L66,0),"")</f>
        <v>0</v>
      </c>
      <c r="O66" t="str">
        <f>IFERROR(IF(Table1[[#This Row],[Type]]="IN",Table1[[#This Row],[C/D (LC)]],IF(Table1[[#This Row],[Type]]="CN",Table1[[#This Row],[C/D (LC)]],"")),"")</f>
        <v/>
      </c>
      <c r="P66" t="str">
        <f>VLOOKUP(Table1[[#This Row],[Cust '#]],ClientInfo!$A:$B,2,0)</f>
        <v>Client_01</v>
      </c>
      <c r="Q66" t="str">
        <f>IFERROR(IF(#REF!&lt;&gt;0,$S$1-P66,0),"")</f>
        <v/>
      </c>
      <c r="R66" t="str">
        <f>IFERROR(IF(#REF!="IN",#REF!,IF(#REF!="CN",#REF!,"")),"")</f>
        <v/>
      </c>
    </row>
    <row r="67" spans="1:18">
      <c r="A67" t="s">
        <v>107</v>
      </c>
      <c r="B67" t="s">
        <v>12</v>
      </c>
      <c r="C67">
        <v>140021311</v>
      </c>
      <c r="D67" s="1">
        <v>45716</v>
      </c>
      <c r="E67">
        <v>1535.23</v>
      </c>
      <c r="F67">
        <v>0</v>
      </c>
      <c r="G67">
        <v>700002975</v>
      </c>
      <c r="H67" s="1">
        <v>45733</v>
      </c>
      <c r="I67">
        <f>YEAR(Table1[[#This Row],[Posting Date]])</f>
        <v>2025</v>
      </c>
      <c r="J67">
        <f>MONTH(Table1[[#This Row],[Posting Date]])</f>
        <v>2</v>
      </c>
      <c r="K67" t="str">
        <f>IF(Table1[[#This Row],[Type]]="IN",VLOOKUP(Table1[[#This Row],[Cust '#]],ClientInfo!$A:$D,4,0),"")</f>
        <v>NET30</v>
      </c>
      <c r="L67" s="1">
        <f>IF(K67="NET30",Table1[[#This Row],[Posting Date]]+30,IF(K67="NET15",Table1[[#This Row],[Posting Date]]+15,IF(K67="COD",Table1[[#This Row],[Posting Date]],"")))</f>
        <v>45746</v>
      </c>
      <c r="M67" s="4">
        <f>IFERROR(IF(Table1[[#This Row],[Type]]="IN",Table1[[#This Row],[RC Date]]-Table1[[#This Row],[Posting Date]],""),"")</f>
        <v>17</v>
      </c>
      <c r="N67">
        <f>IFERROR(IF(Table1[[#This Row],[Balance Due (LC)]]&lt;&gt;0,$S$1-L67,0),"")</f>
        <v>0</v>
      </c>
      <c r="O67">
        <f>IFERROR(IF(Table1[[#This Row],[Type]]="IN",Table1[[#This Row],[C/D (LC)]],IF(Table1[[#This Row],[Type]]="CN",Table1[[#This Row],[C/D (LC)]],"")),"")</f>
        <v>1535.23</v>
      </c>
      <c r="P67" t="str">
        <f>VLOOKUP(Table1[[#This Row],[Cust '#]],ClientInfo!$A:$B,2,0)</f>
        <v>Client_01</v>
      </c>
      <c r="Q67" t="str">
        <f>IFERROR(IF(#REF!&lt;&gt;0,$S$1-P67,0),"")</f>
        <v/>
      </c>
      <c r="R67" t="str">
        <f>IFERROR(IF(#REF!="IN",#REF!,IF(#REF!="CN",#REF!,"")),"")</f>
        <v/>
      </c>
    </row>
    <row r="68" spans="1:18">
      <c r="A68" t="s">
        <v>107</v>
      </c>
      <c r="B68" t="s">
        <v>13</v>
      </c>
      <c r="C68">
        <v>150000993</v>
      </c>
      <c r="D68" s="1">
        <v>45733</v>
      </c>
      <c r="E68">
        <v>-71.900000000000006</v>
      </c>
      <c r="F68">
        <v>0</v>
      </c>
      <c r="G68">
        <v>700003082</v>
      </c>
      <c r="H68" s="1">
        <v>45744</v>
      </c>
      <c r="I68">
        <f>YEAR(Table1[[#This Row],[Posting Date]])</f>
        <v>2025</v>
      </c>
      <c r="J68">
        <f>MONTH(Table1[[#This Row],[Posting Date]])</f>
        <v>3</v>
      </c>
      <c r="K68" t="str">
        <f>IF(Table1[[#This Row],[Type]]="IN",VLOOKUP(Table1[[#This Row],[Cust '#]],ClientInfo!$A:$D,4,0),"")</f>
        <v/>
      </c>
      <c r="L68" s="1" t="str">
        <f>IF(K68="NET30",Table1[[#This Row],[Posting Date]]+30,IF(K68="NET15",Table1[[#This Row],[Posting Date]]+15,IF(K68="COD",Table1[[#This Row],[Posting Date]],"")))</f>
        <v/>
      </c>
      <c r="M68" s="4" t="str">
        <f>IFERROR(IF(Table1[[#This Row],[Type]]="IN",Table1[[#This Row],[RC Date]]-Table1[[#This Row],[Posting Date]],""),"")</f>
        <v/>
      </c>
      <c r="N68">
        <f>IFERROR(IF(Table1[[#This Row],[Balance Due (LC)]]&lt;&gt;0,$S$1-L68,0),"")</f>
        <v>0</v>
      </c>
      <c r="O68">
        <f>IFERROR(IF(Table1[[#This Row],[Type]]="IN",Table1[[#This Row],[C/D (LC)]],IF(Table1[[#This Row],[Type]]="CN",Table1[[#This Row],[C/D (LC)]],"")),"")</f>
        <v>-71.900000000000006</v>
      </c>
      <c r="P68" t="str">
        <f>VLOOKUP(Table1[[#This Row],[Cust '#]],ClientInfo!$A:$B,2,0)</f>
        <v>Client_01</v>
      </c>
      <c r="Q68" t="str">
        <f>IFERROR(IF(#REF!&lt;&gt;0,$S$1-P68,0),"")</f>
        <v/>
      </c>
      <c r="R68" t="str">
        <f>IFERROR(IF(#REF!="IN",#REF!,IF(#REF!="CN",#REF!,"")),"")</f>
        <v/>
      </c>
    </row>
    <row r="69" spans="1:18">
      <c r="A69" t="s">
        <v>107</v>
      </c>
      <c r="B69" t="s">
        <v>13</v>
      </c>
      <c r="C69">
        <v>150000996</v>
      </c>
      <c r="D69" s="1">
        <v>45733</v>
      </c>
      <c r="E69">
        <v>-60.8</v>
      </c>
      <c r="F69">
        <v>0</v>
      </c>
      <c r="G69">
        <v>700003082</v>
      </c>
      <c r="H69" s="1">
        <v>45744</v>
      </c>
      <c r="I69">
        <f>YEAR(Table1[[#This Row],[Posting Date]])</f>
        <v>2025</v>
      </c>
      <c r="J69">
        <f>MONTH(Table1[[#This Row],[Posting Date]])</f>
        <v>3</v>
      </c>
      <c r="K69" t="str">
        <f>IF(Table1[[#This Row],[Type]]="IN",VLOOKUP(Table1[[#This Row],[Cust '#]],ClientInfo!$A:$D,4,0),"")</f>
        <v/>
      </c>
      <c r="L69" s="1" t="str">
        <f>IF(K69="NET30",Table1[[#This Row],[Posting Date]]+30,IF(K69="NET15",Table1[[#This Row],[Posting Date]]+15,IF(K69="COD",Table1[[#This Row],[Posting Date]],"")))</f>
        <v/>
      </c>
      <c r="M69" s="4" t="str">
        <f>IFERROR(IF(Table1[[#This Row],[Type]]="IN",Table1[[#This Row],[RC Date]]-Table1[[#This Row],[Posting Date]],""),"")</f>
        <v/>
      </c>
      <c r="N69">
        <f>IFERROR(IF(Table1[[#This Row],[Balance Due (LC)]]&lt;&gt;0,$S$1-L69,0),"")</f>
        <v>0</v>
      </c>
      <c r="O69">
        <f>IFERROR(IF(Table1[[#This Row],[Type]]="IN",Table1[[#This Row],[C/D (LC)]],IF(Table1[[#This Row],[Type]]="CN",Table1[[#This Row],[C/D (LC)]],"")),"")</f>
        <v>-60.8</v>
      </c>
      <c r="P69" t="str">
        <f>VLOOKUP(Table1[[#This Row],[Cust '#]],ClientInfo!$A:$B,2,0)</f>
        <v>Client_01</v>
      </c>
      <c r="Q69" t="str">
        <f>IFERROR(IF(#REF!&lt;&gt;0,$S$1-P69,0),"")</f>
        <v/>
      </c>
      <c r="R69" t="str">
        <f>IFERROR(IF(#REF!="IN",#REF!,IF(#REF!="CN",#REF!,"")),"")</f>
        <v/>
      </c>
    </row>
    <row r="70" spans="1:18">
      <c r="A70" t="s">
        <v>107</v>
      </c>
      <c r="B70" t="s">
        <v>10</v>
      </c>
      <c r="C70">
        <v>700002975</v>
      </c>
      <c r="D70" s="1">
        <v>45733</v>
      </c>
      <c r="E70">
        <v>-1535.23</v>
      </c>
      <c r="F70">
        <v>0</v>
      </c>
      <c r="G70">
        <v>700002975</v>
      </c>
      <c r="H70" s="1">
        <v>45733</v>
      </c>
      <c r="I70">
        <f>YEAR(Table1[[#This Row],[Posting Date]])</f>
        <v>2025</v>
      </c>
      <c r="J70">
        <f>MONTH(Table1[[#This Row],[Posting Date]])</f>
        <v>3</v>
      </c>
      <c r="K70" t="str">
        <f>IF(Table1[[#This Row],[Type]]="IN",VLOOKUP(Table1[[#This Row],[Cust '#]],ClientInfo!$A:$D,4,0),"")</f>
        <v/>
      </c>
      <c r="L70" s="1" t="str">
        <f>IF(K70="NET30",Table1[[#This Row],[Posting Date]]+30,IF(K70="NET15",Table1[[#This Row],[Posting Date]]+15,IF(K70="COD",Table1[[#This Row],[Posting Date]],"")))</f>
        <v/>
      </c>
      <c r="M70" s="4" t="str">
        <f>IFERROR(IF(Table1[[#This Row],[Type]]="IN",Table1[[#This Row],[RC Date]]-Table1[[#This Row],[Posting Date]],""),"")</f>
        <v/>
      </c>
      <c r="N70">
        <f>IFERROR(IF(Table1[[#This Row],[Balance Due (LC)]]&lt;&gt;0,$S$1-L70,0),"")</f>
        <v>0</v>
      </c>
      <c r="O70" t="str">
        <f>IFERROR(IF(Table1[[#This Row],[Type]]="IN",Table1[[#This Row],[C/D (LC)]],IF(Table1[[#This Row],[Type]]="CN",Table1[[#This Row],[C/D (LC)]],"")),"")</f>
        <v/>
      </c>
      <c r="P70" t="str">
        <f>VLOOKUP(Table1[[#This Row],[Cust '#]],ClientInfo!$A:$B,2,0)</f>
        <v>Client_01</v>
      </c>
      <c r="Q70" t="str">
        <f>IFERROR(IF(#REF!&lt;&gt;0,$S$1-P70,0),"")</f>
        <v/>
      </c>
      <c r="R70" t="str">
        <f>IFERROR(IF(#REF!="IN",#REF!,IF(#REF!="CN",#REF!,"")),"")</f>
        <v/>
      </c>
    </row>
    <row r="71" spans="1:18">
      <c r="A71" t="s">
        <v>107</v>
      </c>
      <c r="B71" t="s">
        <v>12</v>
      </c>
      <c r="C71">
        <v>140022228</v>
      </c>
      <c r="D71" s="1">
        <v>45738</v>
      </c>
      <c r="E71">
        <v>2376.1999999999998</v>
      </c>
      <c r="F71">
        <v>0</v>
      </c>
      <c r="G71">
        <v>700003082</v>
      </c>
      <c r="H71" s="1">
        <v>45744</v>
      </c>
      <c r="I71">
        <f>YEAR(Table1[[#This Row],[Posting Date]])</f>
        <v>2025</v>
      </c>
      <c r="J71">
        <f>MONTH(Table1[[#This Row],[Posting Date]])</f>
        <v>3</v>
      </c>
      <c r="K71" t="str">
        <f>IF(Table1[[#This Row],[Type]]="IN",VLOOKUP(Table1[[#This Row],[Cust '#]],ClientInfo!$A:$D,4,0),"")</f>
        <v>NET30</v>
      </c>
      <c r="L71" s="1">
        <f>IF(K71="NET30",Table1[[#This Row],[Posting Date]]+30,IF(K71="NET15",Table1[[#This Row],[Posting Date]]+15,IF(K71="COD",Table1[[#This Row],[Posting Date]],"")))</f>
        <v>45768</v>
      </c>
      <c r="M71" s="4">
        <f>IFERROR(IF(Table1[[#This Row],[Type]]="IN",Table1[[#This Row],[RC Date]]-Table1[[#This Row],[Posting Date]],""),"")</f>
        <v>6</v>
      </c>
      <c r="N71">
        <f>IFERROR(IF(Table1[[#This Row],[Balance Due (LC)]]&lt;&gt;0,$S$1-L71,0),"")</f>
        <v>0</v>
      </c>
      <c r="O71">
        <f>IFERROR(IF(Table1[[#This Row],[Type]]="IN",Table1[[#This Row],[C/D (LC)]],IF(Table1[[#This Row],[Type]]="CN",Table1[[#This Row],[C/D (LC)]],"")),"")</f>
        <v>2376.1999999999998</v>
      </c>
      <c r="P71" t="str">
        <f>VLOOKUP(Table1[[#This Row],[Cust '#]],ClientInfo!$A:$B,2,0)</f>
        <v>Client_01</v>
      </c>
      <c r="Q71" t="str">
        <f>IFERROR(IF(#REF!&lt;&gt;0,$S$1-P71,0),"")</f>
        <v/>
      </c>
      <c r="R71" t="str">
        <f>IFERROR(IF(#REF!="IN",#REF!,IF(#REF!="CN",#REF!,"")),"")</f>
        <v/>
      </c>
    </row>
    <row r="72" spans="1:18">
      <c r="A72" t="s">
        <v>107</v>
      </c>
      <c r="B72" t="s">
        <v>10</v>
      </c>
      <c r="C72">
        <v>700003082</v>
      </c>
      <c r="D72" s="1">
        <v>45744</v>
      </c>
      <c r="E72">
        <v>-2243.5</v>
      </c>
      <c r="F72">
        <v>0</v>
      </c>
      <c r="G72">
        <v>700003082</v>
      </c>
      <c r="H72" s="1">
        <v>45744</v>
      </c>
      <c r="I72">
        <f>YEAR(Table1[[#This Row],[Posting Date]])</f>
        <v>2025</v>
      </c>
      <c r="J72">
        <f>MONTH(Table1[[#This Row],[Posting Date]])</f>
        <v>3</v>
      </c>
      <c r="K72" t="str">
        <f>IF(Table1[[#This Row],[Type]]="IN",VLOOKUP(Table1[[#This Row],[Cust '#]],ClientInfo!$A:$D,4,0),"")</f>
        <v/>
      </c>
      <c r="L72" s="1" t="str">
        <f>IF(K72="NET30",Table1[[#This Row],[Posting Date]]+30,IF(K72="NET15",Table1[[#This Row],[Posting Date]]+15,IF(K72="COD",Table1[[#This Row],[Posting Date]],"")))</f>
        <v/>
      </c>
      <c r="M72" s="4" t="str">
        <f>IFERROR(IF(Table1[[#This Row],[Type]]="IN",Table1[[#This Row],[RC Date]]-Table1[[#This Row],[Posting Date]],""),"")</f>
        <v/>
      </c>
      <c r="N72">
        <f>IFERROR(IF(Table1[[#This Row],[Balance Due (LC)]]&lt;&gt;0,$S$1-L72,0),"")</f>
        <v>0</v>
      </c>
      <c r="O72" t="str">
        <f>IFERROR(IF(Table1[[#This Row],[Type]]="IN",Table1[[#This Row],[C/D (LC)]],IF(Table1[[#This Row],[Type]]="CN",Table1[[#This Row],[C/D (LC)]],"")),"")</f>
        <v/>
      </c>
      <c r="P72" t="str">
        <f>VLOOKUP(Table1[[#This Row],[Cust '#]],ClientInfo!$A:$B,2,0)</f>
        <v>Client_01</v>
      </c>
      <c r="Q72" t="str">
        <f>IFERROR(IF(#REF!&lt;&gt;0,$S$1-P72,0),"")</f>
        <v/>
      </c>
      <c r="R72" t="str">
        <f>IFERROR(IF(#REF!="IN",#REF!,IF(#REF!="CN",#REF!,"")),"")</f>
        <v/>
      </c>
    </row>
    <row r="73" spans="1:18">
      <c r="A73" t="s">
        <v>107</v>
      </c>
      <c r="B73" t="s">
        <v>12</v>
      </c>
      <c r="C73">
        <v>140022544</v>
      </c>
      <c r="D73" s="1">
        <v>45745</v>
      </c>
      <c r="E73">
        <v>2039.6</v>
      </c>
      <c r="F73">
        <v>0</v>
      </c>
      <c r="G73">
        <v>700003268</v>
      </c>
      <c r="H73" s="1">
        <v>45764</v>
      </c>
      <c r="I73">
        <f>YEAR(Table1[[#This Row],[Posting Date]])</f>
        <v>2025</v>
      </c>
      <c r="J73">
        <f>MONTH(Table1[[#This Row],[Posting Date]])</f>
        <v>3</v>
      </c>
      <c r="K73" t="str">
        <f>IF(Table1[[#This Row],[Type]]="IN",VLOOKUP(Table1[[#This Row],[Cust '#]],ClientInfo!$A:$D,4,0),"")</f>
        <v>NET30</v>
      </c>
      <c r="L73" s="1">
        <f>IF(K73="NET30",Table1[[#This Row],[Posting Date]]+30,IF(K73="NET15",Table1[[#This Row],[Posting Date]]+15,IF(K73="COD",Table1[[#This Row],[Posting Date]],"")))</f>
        <v>45775</v>
      </c>
      <c r="M73" s="4">
        <f>IFERROR(IF(Table1[[#This Row],[Type]]="IN",Table1[[#This Row],[RC Date]]-Table1[[#This Row],[Posting Date]],""),"")</f>
        <v>19</v>
      </c>
      <c r="N73">
        <f>IFERROR(IF(Table1[[#This Row],[Balance Due (LC)]]&lt;&gt;0,$S$1-L73,0),"")</f>
        <v>0</v>
      </c>
      <c r="O73">
        <f>IFERROR(IF(Table1[[#This Row],[Type]]="IN",Table1[[#This Row],[C/D (LC)]],IF(Table1[[#This Row],[Type]]="CN",Table1[[#This Row],[C/D (LC)]],"")),"")</f>
        <v>2039.6</v>
      </c>
      <c r="P73" t="str">
        <f>VLOOKUP(Table1[[#This Row],[Cust '#]],ClientInfo!$A:$B,2,0)</f>
        <v>Client_01</v>
      </c>
      <c r="Q73" t="str">
        <f>IFERROR(IF(#REF!&lt;&gt;0,$S$1-P73,0),"")</f>
        <v/>
      </c>
      <c r="R73" t="str">
        <f>IFERROR(IF(#REF!="IN",#REF!,IF(#REF!="CN",#REF!,"")),"")</f>
        <v/>
      </c>
    </row>
    <row r="74" spans="1:18">
      <c r="A74" t="s">
        <v>107</v>
      </c>
      <c r="B74" t="s">
        <v>10</v>
      </c>
      <c r="C74">
        <v>700003268</v>
      </c>
      <c r="D74" s="1">
        <v>45764</v>
      </c>
      <c r="E74">
        <v>-2039.6</v>
      </c>
      <c r="F74">
        <v>0</v>
      </c>
      <c r="G74">
        <v>700003268</v>
      </c>
      <c r="H74" s="1">
        <v>45764</v>
      </c>
      <c r="I74">
        <f>YEAR(Table1[[#This Row],[Posting Date]])</f>
        <v>2025</v>
      </c>
      <c r="J74">
        <f>MONTH(Table1[[#This Row],[Posting Date]])</f>
        <v>4</v>
      </c>
      <c r="K74" t="str">
        <f>IF(Table1[[#This Row],[Type]]="IN",VLOOKUP(Table1[[#This Row],[Cust '#]],ClientInfo!$A:$D,4,0),"")</f>
        <v/>
      </c>
      <c r="L74" s="1" t="str">
        <f>IF(K74="NET30",Table1[[#This Row],[Posting Date]]+30,IF(K74="NET15",Table1[[#This Row],[Posting Date]]+15,IF(K74="COD",Table1[[#This Row],[Posting Date]],"")))</f>
        <v/>
      </c>
      <c r="M74" s="4" t="str">
        <f>IFERROR(IF(Table1[[#This Row],[Type]]="IN",Table1[[#This Row],[RC Date]]-Table1[[#This Row],[Posting Date]],""),"")</f>
        <v/>
      </c>
      <c r="N74">
        <f>IFERROR(IF(Table1[[#This Row],[Balance Due (LC)]]&lt;&gt;0,$S$1-L74,0),"")</f>
        <v>0</v>
      </c>
      <c r="O74" t="str">
        <f>IFERROR(IF(Table1[[#This Row],[Type]]="IN",Table1[[#This Row],[C/D (LC)]],IF(Table1[[#This Row],[Type]]="CN",Table1[[#This Row],[C/D (LC)]],"")),"")</f>
        <v/>
      </c>
      <c r="P74" t="str">
        <f>VLOOKUP(Table1[[#This Row],[Cust '#]],ClientInfo!$A:$B,2,0)</f>
        <v>Client_01</v>
      </c>
      <c r="Q74" t="str">
        <f>IFERROR(IF(#REF!&lt;&gt;0,$S$1-P74,0),"")</f>
        <v/>
      </c>
      <c r="R74" t="str">
        <f>IFERROR(IF(#REF!="IN",#REF!,IF(#REF!="CN",#REF!,"")),"")</f>
        <v/>
      </c>
    </row>
    <row r="75" spans="1:18">
      <c r="A75" t="s">
        <v>107</v>
      </c>
      <c r="B75" t="s">
        <v>12</v>
      </c>
      <c r="C75">
        <v>140023459</v>
      </c>
      <c r="D75" s="1">
        <v>45766</v>
      </c>
      <c r="E75">
        <v>4734.3</v>
      </c>
      <c r="F75">
        <v>0</v>
      </c>
      <c r="G75">
        <v>700003406</v>
      </c>
      <c r="H75" s="1">
        <v>45784</v>
      </c>
      <c r="I75">
        <f>YEAR(Table1[[#This Row],[Posting Date]])</f>
        <v>2025</v>
      </c>
      <c r="J75">
        <f>MONTH(Table1[[#This Row],[Posting Date]])</f>
        <v>4</v>
      </c>
      <c r="K75" t="str">
        <f>IF(Table1[[#This Row],[Type]]="IN",VLOOKUP(Table1[[#This Row],[Cust '#]],ClientInfo!$A:$D,4,0),"")</f>
        <v>NET30</v>
      </c>
      <c r="L75" s="1">
        <f>IF(K75="NET30",Table1[[#This Row],[Posting Date]]+30,IF(K75="NET15",Table1[[#This Row],[Posting Date]]+15,IF(K75="COD",Table1[[#This Row],[Posting Date]],"")))</f>
        <v>45796</v>
      </c>
      <c r="M75" s="4">
        <f>IFERROR(IF(Table1[[#This Row],[Type]]="IN",Table1[[#This Row],[RC Date]]-Table1[[#This Row],[Posting Date]],""),"")</f>
        <v>18</v>
      </c>
      <c r="N75">
        <f>IFERROR(IF(Table1[[#This Row],[Balance Due (LC)]]&lt;&gt;0,$S$1-L75,0),"")</f>
        <v>0</v>
      </c>
      <c r="O75">
        <f>IFERROR(IF(Table1[[#This Row],[Type]]="IN",Table1[[#This Row],[C/D (LC)]],IF(Table1[[#This Row],[Type]]="CN",Table1[[#This Row],[C/D (LC)]],"")),"")</f>
        <v>4734.3</v>
      </c>
      <c r="P75" t="str">
        <f>VLOOKUP(Table1[[#This Row],[Cust '#]],ClientInfo!$A:$B,2,0)</f>
        <v>Client_01</v>
      </c>
      <c r="Q75" t="str">
        <f>IFERROR(IF(#REF!&lt;&gt;0,$S$1-P75,0),"")</f>
        <v/>
      </c>
      <c r="R75" t="str">
        <f>IFERROR(IF(#REF!="IN",#REF!,IF(#REF!="CN",#REF!,"")),"")</f>
        <v/>
      </c>
    </row>
    <row r="76" spans="1:18">
      <c r="A76" t="s">
        <v>107</v>
      </c>
      <c r="B76" t="s">
        <v>10</v>
      </c>
      <c r="C76">
        <v>700003406</v>
      </c>
      <c r="D76" s="1">
        <v>45784</v>
      </c>
      <c r="E76">
        <v>-4734.3</v>
      </c>
      <c r="F76">
        <v>0</v>
      </c>
      <c r="G76">
        <v>700003406</v>
      </c>
      <c r="H76" s="1">
        <v>45784</v>
      </c>
      <c r="I76">
        <f>YEAR(Table1[[#This Row],[Posting Date]])</f>
        <v>2025</v>
      </c>
      <c r="J76">
        <f>MONTH(Table1[[#This Row],[Posting Date]])</f>
        <v>5</v>
      </c>
      <c r="K76" t="str">
        <f>IF(Table1[[#This Row],[Type]]="IN",VLOOKUP(Table1[[#This Row],[Cust '#]],ClientInfo!$A:$D,4,0),"")</f>
        <v/>
      </c>
      <c r="L76" s="1" t="str">
        <f>IF(K76="NET30",Table1[[#This Row],[Posting Date]]+30,IF(K76="NET15",Table1[[#This Row],[Posting Date]]+15,IF(K76="COD",Table1[[#This Row],[Posting Date]],"")))</f>
        <v/>
      </c>
      <c r="M76" s="4" t="str">
        <f>IFERROR(IF(Table1[[#This Row],[Type]]="IN",Table1[[#This Row],[RC Date]]-Table1[[#This Row],[Posting Date]],""),"")</f>
        <v/>
      </c>
      <c r="N76">
        <f>IFERROR(IF(Table1[[#This Row],[Balance Due (LC)]]&lt;&gt;0,$S$1-L76,0),"")</f>
        <v>0</v>
      </c>
      <c r="O76" t="str">
        <f>IFERROR(IF(Table1[[#This Row],[Type]]="IN",Table1[[#This Row],[C/D (LC)]],IF(Table1[[#This Row],[Type]]="CN",Table1[[#This Row],[C/D (LC)]],"")),"")</f>
        <v/>
      </c>
      <c r="P76" t="str">
        <f>VLOOKUP(Table1[[#This Row],[Cust '#]],ClientInfo!$A:$B,2,0)</f>
        <v>Client_01</v>
      </c>
      <c r="Q76" t="str">
        <f>IFERROR(IF(#REF!&lt;&gt;0,$S$1-P76,0),"")</f>
        <v/>
      </c>
      <c r="R76" t="str">
        <f>IFERROR(IF(#REF!="IN",#REF!,IF(#REF!="CN",#REF!,"")),"")</f>
        <v/>
      </c>
    </row>
    <row r="77" spans="1:18">
      <c r="A77" t="s">
        <v>107</v>
      </c>
      <c r="B77" t="s">
        <v>13</v>
      </c>
      <c r="C77">
        <v>150001131</v>
      </c>
      <c r="D77" s="1">
        <v>45793</v>
      </c>
      <c r="E77">
        <v>-21.5</v>
      </c>
      <c r="F77">
        <v>0</v>
      </c>
      <c r="G77">
        <v>700003502</v>
      </c>
      <c r="H77" s="1">
        <v>45798</v>
      </c>
      <c r="I77">
        <f>YEAR(Table1[[#This Row],[Posting Date]])</f>
        <v>2025</v>
      </c>
      <c r="J77">
        <f>MONTH(Table1[[#This Row],[Posting Date]])</f>
        <v>5</v>
      </c>
      <c r="K77" t="str">
        <f>IF(Table1[[#This Row],[Type]]="IN",VLOOKUP(Table1[[#This Row],[Cust '#]],ClientInfo!$A:$D,4,0),"")</f>
        <v/>
      </c>
      <c r="L77" s="1" t="str">
        <f>IF(K77="NET30",Table1[[#This Row],[Posting Date]]+30,IF(K77="NET15",Table1[[#This Row],[Posting Date]]+15,IF(K77="COD",Table1[[#This Row],[Posting Date]],"")))</f>
        <v/>
      </c>
      <c r="M77" s="4" t="str">
        <f>IFERROR(IF(Table1[[#This Row],[Type]]="IN",Table1[[#This Row],[RC Date]]-Table1[[#This Row],[Posting Date]],""),"")</f>
        <v/>
      </c>
      <c r="N77">
        <f>IFERROR(IF(Table1[[#This Row],[Balance Due (LC)]]&lt;&gt;0,$S$1-L77,0),"")</f>
        <v>0</v>
      </c>
      <c r="O77">
        <f>IFERROR(IF(Table1[[#This Row],[Type]]="IN",Table1[[#This Row],[C/D (LC)]],IF(Table1[[#This Row],[Type]]="CN",Table1[[#This Row],[C/D (LC)]],"")),"")</f>
        <v>-21.5</v>
      </c>
      <c r="P77" t="str">
        <f>VLOOKUP(Table1[[#This Row],[Cust '#]],ClientInfo!$A:$B,2,0)</f>
        <v>Client_01</v>
      </c>
      <c r="Q77" t="str">
        <f>IFERROR(IF(#REF!&lt;&gt;0,$S$1-P77,0),"")</f>
        <v/>
      </c>
      <c r="R77" t="str">
        <f>IFERROR(IF(#REF!="IN",#REF!,IF(#REF!="CN",#REF!,"")),"")</f>
        <v/>
      </c>
    </row>
    <row r="78" spans="1:18">
      <c r="A78" t="s">
        <v>107</v>
      </c>
      <c r="B78" t="s">
        <v>12</v>
      </c>
      <c r="C78">
        <v>140024702</v>
      </c>
      <c r="D78" s="1">
        <v>45794</v>
      </c>
      <c r="E78">
        <v>3281.7</v>
      </c>
      <c r="F78">
        <v>0</v>
      </c>
      <c r="G78">
        <v>700003502</v>
      </c>
      <c r="H78" s="1">
        <v>45798</v>
      </c>
      <c r="I78">
        <f>YEAR(Table1[[#This Row],[Posting Date]])</f>
        <v>2025</v>
      </c>
      <c r="J78">
        <f>MONTH(Table1[[#This Row],[Posting Date]])</f>
        <v>5</v>
      </c>
      <c r="K78" t="str">
        <f>IF(Table1[[#This Row],[Type]]="IN",VLOOKUP(Table1[[#This Row],[Cust '#]],ClientInfo!$A:$D,4,0),"")</f>
        <v>NET30</v>
      </c>
      <c r="L78" s="1">
        <f>IF(K78="NET30",Table1[[#This Row],[Posting Date]]+30,IF(K78="NET15",Table1[[#This Row],[Posting Date]]+15,IF(K78="COD",Table1[[#This Row],[Posting Date]],"")))</f>
        <v>45824</v>
      </c>
      <c r="M78" s="4">
        <f>IFERROR(IF(Table1[[#This Row],[Type]]="IN",Table1[[#This Row],[RC Date]]-Table1[[#This Row],[Posting Date]],""),"")</f>
        <v>4</v>
      </c>
      <c r="N78">
        <f>IFERROR(IF(Table1[[#This Row],[Balance Due (LC)]]&lt;&gt;0,$S$1-L78,0),"")</f>
        <v>0</v>
      </c>
      <c r="O78">
        <f>IFERROR(IF(Table1[[#This Row],[Type]]="IN",Table1[[#This Row],[C/D (LC)]],IF(Table1[[#This Row],[Type]]="CN",Table1[[#This Row],[C/D (LC)]],"")),"")</f>
        <v>3281.7</v>
      </c>
      <c r="P78" t="str">
        <f>VLOOKUP(Table1[[#This Row],[Cust '#]],ClientInfo!$A:$B,2,0)</f>
        <v>Client_01</v>
      </c>
      <c r="Q78" t="str">
        <f>IFERROR(IF(#REF!&lt;&gt;0,$S$1-P78,0),"")</f>
        <v/>
      </c>
      <c r="R78" t="str">
        <f>IFERROR(IF(#REF!="IN",#REF!,IF(#REF!="CN",#REF!,"")),"")</f>
        <v/>
      </c>
    </row>
    <row r="79" spans="1:18">
      <c r="A79" t="s">
        <v>107</v>
      </c>
      <c r="B79" t="s">
        <v>10</v>
      </c>
      <c r="C79">
        <v>700003502</v>
      </c>
      <c r="D79" s="1">
        <v>45798</v>
      </c>
      <c r="E79">
        <v>-3260.2</v>
      </c>
      <c r="F79">
        <v>0</v>
      </c>
      <c r="G79">
        <v>700003502</v>
      </c>
      <c r="H79" s="1">
        <v>45798</v>
      </c>
      <c r="I79">
        <f>YEAR(Table1[[#This Row],[Posting Date]])</f>
        <v>2025</v>
      </c>
      <c r="J79">
        <f>MONTH(Table1[[#This Row],[Posting Date]])</f>
        <v>5</v>
      </c>
      <c r="K79" t="str">
        <f>IF(Table1[[#This Row],[Type]]="IN",VLOOKUP(Table1[[#This Row],[Cust '#]],ClientInfo!$A:$D,4,0),"")</f>
        <v/>
      </c>
      <c r="L79" s="1" t="str">
        <f>IF(K79="NET30",Table1[[#This Row],[Posting Date]]+30,IF(K79="NET15",Table1[[#This Row],[Posting Date]]+15,IF(K79="COD",Table1[[#This Row],[Posting Date]],"")))</f>
        <v/>
      </c>
      <c r="M79" s="4" t="str">
        <f>IFERROR(IF(Table1[[#This Row],[Type]]="IN",Table1[[#This Row],[RC Date]]-Table1[[#This Row],[Posting Date]],""),"")</f>
        <v/>
      </c>
      <c r="N79">
        <f>IFERROR(IF(Table1[[#This Row],[Balance Due (LC)]]&lt;&gt;0,$S$1-L79,0),"")</f>
        <v>0</v>
      </c>
      <c r="O79" t="str">
        <f>IFERROR(IF(Table1[[#This Row],[Type]]="IN",Table1[[#This Row],[C/D (LC)]],IF(Table1[[#This Row],[Type]]="CN",Table1[[#This Row],[C/D (LC)]],"")),"")</f>
        <v/>
      </c>
      <c r="P79" t="str">
        <f>VLOOKUP(Table1[[#This Row],[Cust '#]],ClientInfo!$A:$B,2,0)</f>
        <v>Client_01</v>
      </c>
      <c r="Q79" t="str">
        <f>IFERROR(IF(#REF!&lt;&gt;0,$S$1-P79,0),"")</f>
        <v/>
      </c>
      <c r="R79" t="str">
        <f>IFERROR(IF(#REF!="IN",#REF!,IF(#REF!="CN",#REF!,"")),"")</f>
        <v/>
      </c>
    </row>
    <row r="80" spans="1:18">
      <c r="A80" t="s">
        <v>107</v>
      </c>
      <c r="B80" t="s">
        <v>12</v>
      </c>
      <c r="C80">
        <v>140025954</v>
      </c>
      <c r="D80" s="1">
        <v>45822</v>
      </c>
      <c r="E80">
        <v>3531.26</v>
      </c>
      <c r="F80">
        <v>0</v>
      </c>
      <c r="G80">
        <v>700003751</v>
      </c>
      <c r="H80" s="1">
        <v>45826</v>
      </c>
      <c r="I80">
        <f>YEAR(Table1[[#This Row],[Posting Date]])</f>
        <v>2025</v>
      </c>
      <c r="J80">
        <f>MONTH(Table1[[#This Row],[Posting Date]])</f>
        <v>6</v>
      </c>
      <c r="K80" t="str">
        <f>IF(Table1[[#This Row],[Type]]="IN",VLOOKUP(Table1[[#This Row],[Cust '#]],ClientInfo!$A:$D,4,0),"")</f>
        <v>NET30</v>
      </c>
      <c r="L80" s="1">
        <f>IF(K80="NET30",Table1[[#This Row],[Posting Date]]+30,IF(K80="NET15",Table1[[#This Row],[Posting Date]]+15,IF(K80="COD",Table1[[#This Row],[Posting Date]],"")))</f>
        <v>45852</v>
      </c>
      <c r="M80" s="4">
        <f>IFERROR(IF(Table1[[#This Row],[Type]]="IN",Table1[[#This Row],[RC Date]]-Table1[[#This Row],[Posting Date]],""),"")</f>
        <v>4</v>
      </c>
      <c r="N80">
        <f>IFERROR(IF(Table1[[#This Row],[Balance Due (LC)]]&lt;&gt;0,$S$1-L80,0),"")</f>
        <v>0</v>
      </c>
      <c r="O80">
        <f>IFERROR(IF(Table1[[#This Row],[Type]]="IN",Table1[[#This Row],[C/D (LC)]],IF(Table1[[#This Row],[Type]]="CN",Table1[[#This Row],[C/D (LC)]],"")),"")</f>
        <v>3531.26</v>
      </c>
      <c r="P80" t="str">
        <f>VLOOKUP(Table1[[#This Row],[Cust '#]],ClientInfo!$A:$B,2,0)</f>
        <v>Client_01</v>
      </c>
      <c r="Q80" t="str">
        <f>IFERROR(IF(#REF!&lt;&gt;0,$S$1-P80,0),"")</f>
        <v/>
      </c>
      <c r="R80" t="str">
        <f>IFERROR(IF(#REF!="IN",#REF!,IF(#REF!="CN",#REF!,"")),"")</f>
        <v/>
      </c>
    </row>
    <row r="81" spans="1:18">
      <c r="A81" t="s">
        <v>107</v>
      </c>
      <c r="B81" t="s">
        <v>10</v>
      </c>
      <c r="C81">
        <v>700003751</v>
      </c>
      <c r="D81" s="1">
        <v>45826</v>
      </c>
      <c r="E81">
        <v>-3531.26</v>
      </c>
      <c r="F81">
        <v>0</v>
      </c>
      <c r="G81">
        <v>700003751</v>
      </c>
      <c r="H81" s="1">
        <v>45826</v>
      </c>
      <c r="I81">
        <f>YEAR(Table1[[#This Row],[Posting Date]])</f>
        <v>2025</v>
      </c>
      <c r="J81">
        <f>MONTH(Table1[[#This Row],[Posting Date]])</f>
        <v>6</v>
      </c>
      <c r="K81" t="str">
        <f>IF(Table1[[#This Row],[Type]]="IN",VLOOKUP(Table1[[#This Row],[Cust '#]],ClientInfo!$A:$D,4,0),"")</f>
        <v/>
      </c>
      <c r="L81" s="1" t="str">
        <f>IF(K81="NET30",Table1[[#This Row],[Posting Date]]+30,IF(K81="NET15",Table1[[#This Row],[Posting Date]]+15,IF(K81="COD",Table1[[#This Row],[Posting Date]],"")))</f>
        <v/>
      </c>
      <c r="M81" s="4" t="str">
        <f>IFERROR(IF(Table1[[#This Row],[Type]]="IN",Table1[[#This Row],[RC Date]]-Table1[[#This Row],[Posting Date]],""),"")</f>
        <v/>
      </c>
      <c r="N81">
        <f>IFERROR(IF(Table1[[#This Row],[Balance Due (LC)]]&lt;&gt;0,$S$1-L81,0),"")</f>
        <v>0</v>
      </c>
      <c r="O81" t="str">
        <f>IFERROR(IF(Table1[[#This Row],[Type]]="IN",Table1[[#This Row],[C/D (LC)]],IF(Table1[[#This Row],[Type]]="CN",Table1[[#This Row],[C/D (LC)]],"")),"")</f>
        <v/>
      </c>
      <c r="P81" t="str">
        <f>VLOOKUP(Table1[[#This Row],[Cust '#]],ClientInfo!$A:$B,2,0)</f>
        <v>Client_01</v>
      </c>
      <c r="Q81" t="str">
        <f>IFERROR(IF(#REF!&lt;&gt;0,$S$1-P81,0),"")</f>
        <v/>
      </c>
      <c r="R81" t="str">
        <f>IFERROR(IF(#REF!="IN",#REF!,IF(#REF!="CN",#REF!,"")),"")</f>
        <v/>
      </c>
    </row>
    <row r="82" spans="1:18">
      <c r="A82" t="s">
        <v>108</v>
      </c>
      <c r="B82" t="s">
        <v>12</v>
      </c>
      <c r="C82">
        <v>140000024</v>
      </c>
      <c r="D82" s="1">
        <v>45267</v>
      </c>
      <c r="E82">
        <v>4318</v>
      </c>
      <c r="F82">
        <v>0</v>
      </c>
      <c r="G82">
        <v>700000103</v>
      </c>
      <c r="H82" s="1">
        <v>45356</v>
      </c>
      <c r="I82">
        <f>YEAR(Table1[[#This Row],[Posting Date]])</f>
        <v>2023</v>
      </c>
      <c r="J82">
        <f>MONTH(Table1[[#This Row],[Posting Date]])</f>
        <v>12</v>
      </c>
      <c r="K82" t="str">
        <f>IF(Table1[[#This Row],[Type]]="IN",VLOOKUP(Table1[[#This Row],[Cust '#]],ClientInfo!$A:$D,4,0),"")</f>
        <v>NET30</v>
      </c>
      <c r="L82" s="1">
        <f>IF(K82="NET30",Table1[[#This Row],[Posting Date]]+30,IF(K82="NET15",Table1[[#This Row],[Posting Date]]+15,IF(K82="COD",Table1[[#This Row],[Posting Date]],"")))</f>
        <v>45297</v>
      </c>
      <c r="M82" s="4">
        <f>IFERROR(IF(Table1[[#This Row],[Type]]="IN",Table1[[#This Row],[RC Date]]-Table1[[#This Row],[Posting Date]],""),"")</f>
        <v>89</v>
      </c>
      <c r="N82">
        <f>IFERROR(IF(Table1[[#This Row],[Balance Due (LC)]]&lt;&gt;0,$S$1-L82,0),"")</f>
        <v>0</v>
      </c>
      <c r="O82">
        <f>IFERROR(IF(Table1[[#This Row],[Type]]="IN",Table1[[#This Row],[C/D (LC)]],IF(Table1[[#This Row],[Type]]="CN",Table1[[#This Row],[C/D (LC)]],"")),"")</f>
        <v>4318</v>
      </c>
      <c r="P82" t="str">
        <f>VLOOKUP(Table1[[#This Row],[Cust '#]],ClientInfo!$A:$B,2,0)</f>
        <v>Client_02</v>
      </c>
      <c r="Q82" t="str">
        <f>IFERROR(IF(#REF!&lt;&gt;0,$S$1-P82,0),"")</f>
        <v/>
      </c>
      <c r="R82" t="str">
        <f>IFERROR(IF(#REF!="IN",#REF!,IF(#REF!="CN",#REF!,"")),"")</f>
        <v/>
      </c>
    </row>
    <row r="83" spans="1:18">
      <c r="A83" t="s">
        <v>108</v>
      </c>
      <c r="B83" t="s">
        <v>12</v>
      </c>
      <c r="C83">
        <v>140000025</v>
      </c>
      <c r="D83" s="1">
        <v>45281</v>
      </c>
      <c r="E83">
        <v>4608.2</v>
      </c>
      <c r="F83">
        <v>0</v>
      </c>
      <c r="G83">
        <v>700000103</v>
      </c>
      <c r="H83" s="1">
        <v>45356</v>
      </c>
      <c r="I83">
        <f>YEAR(Table1[[#This Row],[Posting Date]])</f>
        <v>2023</v>
      </c>
      <c r="J83">
        <f>MONTH(Table1[[#This Row],[Posting Date]])</f>
        <v>12</v>
      </c>
      <c r="K83" t="str">
        <f>IF(Table1[[#This Row],[Type]]="IN",VLOOKUP(Table1[[#This Row],[Cust '#]],ClientInfo!$A:$D,4,0),"")</f>
        <v>NET30</v>
      </c>
      <c r="L83" s="1">
        <f>IF(K83="NET30",Table1[[#This Row],[Posting Date]]+30,IF(K83="NET15",Table1[[#This Row],[Posting Date]]+15,IF(K83="COD",Table1[[#This Row],[Posting Date]],"")))</f>
        <v>45311</v>
      </c>
      <c r="M83" s="4">
        <f>IFERROR(IF(Table1[[#This Row],[Type]]="IN",Table1[[#This Row],[RC Date]]-Table1[[#This Row],[Posting Date]],""),"")</f>
        <v>75</v>
      </c>
      <c r="N83">
        <f>IFERROR(IF(Table1[[#This Row],[Balance Due (LC)]]&lt;&gt;0,$S$1-L83,0),"")</f>
        <v>0</v>
      </c>
      <c r="O83">
        <f>IFERROR(IF(Table1[[#This Row],[Type]]="IN",Table1[[#This Row],[C/D (LC)]],IF(Table1[[#This Row],[Type]]="CN",Table1[[#This Row],[C/D (LC)]],"")),"")</f>
        <v>4608.2</v>
      </c>
      <c r="P83" t="str">
        <f>VLOOKUP(Table1[[#This Row],[Cust '#]],ClientInfo!$A:$B,2,0)</f>
        <v>Client_02</v>
      </c>
      <c r="Q83" t="str">
        <f>IFERROR(IF(#REF!&lt;&gt;0,$S$1-P83,0),"")</f>
        <v/>
      </c>
      <c r="R83" t="str">
        <f>IFERROR(IF(#REF!="IN",#REF!,IF(#REF!="CN",#REF!,"")),"")</f>
        <v/>
      </c>
    </row>
    <row r="84" spans="1:18">
      <c r="A84" t="s">
        <v>108</v>
      </c>
      <c r="B84" t="s">
        <v>12</v>
      </c>
      <c r="C84">
        <v>140000026</v>
      </c>
      <c r="D84" s="1">
        <v>45295</v>
      </c>
      <c r="E84">
        <v>5501.1</v>
      </c>
      <c r="F84">
        <v>0</v>
      </c>
      <c r="G84">
        <v>700000418</v>
      </c>
      <c r="H84" s="1">
        <v>45397</v>
      </c>
      <c r="I84">
        <f>YEAR(Table1[[#This Row],[Posting Date]])</f>
        <v>2024</v>
      </c>
      <c r="J84">
        <f>MONTH(Table1[[#This Row],[Posting Date]])</f>
        <v>1</v>
      </c>
      <c r="K84" t="str">
        <f>IF(Table1[[#This Row],[Type]]="IN",VLOOKUP(Table1[[#This Row],[Cust '#]],ClientInfo!$A:$D,4,0),"")</f>
        <v>NET30</v>
      </c>
      <c r="L84" s="1">
        <f>IF(K84="NET30",Table1[[#This Row],[Posting Date]]+30,IF(K84="NET15",Table1[[#This Row],[Posting Date]]+15,IF(K84="COD",Table1[[#This Row],[Posting Date]],"")))</f>
        <v>45325</v>
      </c>
      <c r="M84" s="4">
        <f>IFERROR(IF(Table1[[#This Row],[Type]]="IN",Table1[[#This Row],[RC Date]]-Table1[[#This Row],[Posting Date]],""),"")</f>
        <v>102</v>
      </c>
      <c r="N84">
        <f>IFERROR(IF(Table1[[#This Row],[Balance Due (LC)]]&lt;&gt;0,$S$1-L84,0),"")</f>
        <v>0</v>
      </c>
      <c r="O84">
        <f>IFERROR(IF(Table1[[#This Row],[Type]]="IN",Table1[[#This Row],[C/D (LC)]],IF(Table1[[#This Row],[Type]]="CN",Table1[[#This Row],[C/D (LC)]],"")),"")</f>
        <v>5501.1</v>
      </c>
      <c r="P84" t="str">
        <f>VLOOKUP(Table1[[#This Row],[Cust '#]],ClientInfo!$A:$B,2,0)</f>
        <v>Client_02</v>
      </c>
      <c r="Q84" t="str">
        <f>IFERROR(IF(#REF!&lt;&gt;0,$S$1-P84,0),"")</f>
        <v/>
      </c>
      <c r="R84" t="str">
        <f>IFERROR(IF(#REF!="IN",#REF!,IF(#REF!="CN",#REF!,"")),"")</f>
        <v/>
      </c>
    </row>
    <row r="85" spans="1:18">
      <c r="A85" t="s">
        <v>108</v>
      </c>
      <c r="B85" t="s">
        <v>12</v>
      </c>
      <c r="C85">
        <v>140000027</v>
      </c>
      <c r="D85" s="1">
        <v>45309</v>
      </c>
      <c r="E85">
        <v>5493.1</v>
      </c>
      <c r="F85">
        <v>0</v>
      </c>
      <c r="G85">
        <v>700000418</v>
      </c>
      <c r="H85" s="1">
        <v>45397</v>
      </c>
      <c r="I85">
        <f>YEAR(Table1[[#This Row],[Posting Date]])</f>
        <v>2024</v>
      </c>
      <c r="J85">
        <f>MONTH(Table1[[#This Row],[Posting Date]])</f>
        <v>1</v>
      </c>
      <c r="K85" t="str">
        <f>IF(Table1[[#This Row],[Type]]="IN",VLOOKUP(Table1[[#This Row],[Cust '#]],ClientInfo!$A:$D,4,0),"")</f>
        <v>NET30</v>
      </c>
      <c r="L85" s="1">
        <f>IF(K85="NET30",Table1[[#This Row],[Posting Date]]+30,IF(K85="NET15",Table1[[#This Row],[Posting Date]]+15,IF(K85="COD",Table1[[#This Row],[Posting Date]],"")))</f>
        <v>45339</v>
      </c>
      <c r="M85" s="4">
        <f>IFERROR(IF(Table1[[#This Row],[Type]]="IN",Table1[[#This Row],[RC Date]]-Table1[[#This Row],[Posting Date]],""),"")</f>
        <v>88</v>
      </c>
      <c r="N85">
        <f>IFERROR(IF(Table1[[#This Row],[Balance Due (LC)]]&lt;&gt;0,$S$1-L85,0),"")</f>
        <v>0</v>
      </c>
      <c r="O85">
        <f>IFERROR(IF(Table1[[#This Row],[Type]]="IN",Table1[[#This Row],[C/D (LC)]],IF(Table1[[#This Row],[Type]]="CN",Table1[[#This Row],[C/D (LC)]],"")),"")</f>
        <v>5493.1</v>
      </c>
      <c r="P85" t="str">
        <f>VLOOKUP(Table1[[#This Row],[Cust '#]],ClientInfo!$A:$B,2,0)</f>
        <v>Client_02</v>
      </c>
      <c r="Q85" t="str">
        <f>IFERROR(IF(#REF!&lt;&gt;0,$S$1-P85,0),"")</f>
        <v/>
      </c>
      <c r="R85" t="str">
        <f>IFERROR(IF(#REF!="IN",#REF!,IF(#REF!="CN",#REF!,"")),"")</f>
        <v/>
      </c>
    </row>
    <row r="86" spans="1:18">
      <c r="A86" t="s">
        <v>108</v>
      </c>
      <c r="B86" t="s">
        <v>13</v>
      </c>
      <c r="C86">
        <v>150000001</v>
      </c>
      <c r="D86" s="1">
        <v>45318</v>
      </c>
      <c r="E86">
        <v>-33.6</v>
      </c>
      <c r="F86">
        <v>0</v>
      </c>
      <c r="G86">
        <v>700000418</v>
      </c>
      <c r="H86" s="1">
        <v>45397</v>
      </c>
      <c r="I86">
        <f>YEAR(Table1[[#This Row],[Posting Date]])</f>
        <v>2024</v>
      </c>
      <c r="J86">
        <f>MONTH(Table1[[#This Row],[Posting Date]])</f>
        <v>1</v>
      </c>
      <c r="K86" t="str">
        <f>IF(Table1[[#This Row],[Type]]="IN",VLOOKUP(Table1[[#This Row],[Cust '#]],ClientInfo!$A:$D,4,0),"")</f>
        <v/>
      </c>
      <c r="L86" s="1" t="str">
        <f>IF(K86="NET30",Table1[[#This Row],[Posting Date]]+30,IF(K86="NET15",Table1[[#This Row],[Posting Date]]+15,IF(K86="COD",Table1[[#This Row],[Posting Date]],"")))</f>
        <v/>
      </c>
      <c r="M86" s="4" t="str">
        <f>IFERROR(IF(Table1[[#This Row],[Type]]="IN",Table1[[#This Row],[RC Date]]-Table1[[#This Row],[Posting Date]],""),"")</f>
        <v/>
      </c>
      <c r="N86">
        <f>IFERROR(IF(Table1[[#This Row],[Balance Due (LC)]]&lt;&gt;0,$S$1-L86,0),"")</f>
        <v>0</v>
      </c>
      <c r="O86">
        <f>IFERROR(IF(Table1[[#This Row],[Type]]="IN",Table1[[#This Row],[C/D (LC)]],IF(Table1[[#This Row],[Type]]="CN",Table1[[#This Row],[C/D (LC)]],"")),"")</f>
        <v>-33.6</v>
      </c>
      <c r="P86" t="str">
        <f>VLOOKUP(Table1[[#This Row],[Cust '#]],ClientInfo!$A:$B,2,0)</f>
        <v>Client_02</v>
      </c>
      <c r="Q86" t="str">
        <f>IFERROR(IF(#REF!&lt;&gt;0,$S$1-P86,0),"")</f>
        <v/>
      </c>
      <c r="R86" t="str">
        <f>IFERROR(IF(#REF!="IN",#REF!,IF(#REF!="CN",#REF!,"")),"")</f>
        <v/>
      </c>
    </row>
    <row r="87" spans="1:18">
      <c r="A87" t="s">
        <v>108</v>
      </c>
      <c r="B87" t="s">
        <v>12</v>
      </c>
      <c r="C87">
        <v>140000028</v>
      </c>
      <c r="D87" s="1">
        <v>45323</v>
      </c>
      <c r="E87">
        <v>6041.7</v>
      </c>
      <c r="F87">
        <v>0</v>
      </c>
      <c r="G87">
        <v>700000419</v>
      </c>
      <c r="H87" s="1">
        <v>45397</v>
      </c>
      <c r="I87">
        <f>YEAR(Table1[[#This Row],[Posting Date]])</f>
        <v>2024</v>
      </c>
      <c r="J87">
        <f>MONTH(Table1[[#This Row],[Posting Date]])</f>
        <v>2</v>
      </c>
      <c r="K87" t="str">
        <f>IF(Table1[[#This Row],[Type]]="IN",VLOOKUP(Table1[[#This Row],[Cust '#]],ClientInfo!$A:$D,4,0),"")</f>
        <v>NET30</v>
      </c>
      <c r="L87" s="1">
        <f>IF(K87="NET30",Table1[[#This Row],[Posting Date]]+30,IF(K87="NET15",Table1[[#This Row],[Posting Date]]+15,IF(K87="COD",Table1[[#This Row],[Posting Date]],"")))</f>
        <v>45353</v>
      </c>
      <c r="M87" s="4">
        <f>IFERROR(IF(Table1[[#This Row],[Type]]="IN",Table1[[#This Row],[RC Date]]-Table1[[#This Row],[Posting Date]],""),"")</f>
        <v>74</v>
      </c>
      <c r="N87">
        <f>IFERROR(IF(Table1[[#This Row],[Balance Due (LC)]]&lt;&gt;0,$S$1-L87,0),"")</f>
        <v>0</v>
      </c>
      <c r="O87">
        <f>IFERROR(IF(Table1[[#This Row],[Type]]="IN",Table1[[#This Row],[C/D (LC)]],IF(Table1[[#This Row],[Type]]="CN",Table1[[#This Row],[C/D (LC)]],"")),"")</f>
        <v>6041.7</v>
      </c>
      <c r="P87" t="str">
        <f>VLOOKUP(Table1[[#This Row],[Cust '#]],ClientInfo!$A:$B,2,0)</f>
        <v>Client_02</v>
      </c>
      <c r="Q87" t="str">
        <f>IFERROR(IF(#REF!&lt;&gt;0,$S$1-P87,0),"")</f>
        <v/>
      </c>
      <c r="R87" t="str">
        <f>IFERROR(IF(#REF!="IN",#REF!,IF(#REF!="CN",#REF!,"")),"")</f>
        <v/>
      </c>
    </row>
    <row r="88" spans="1:18">
      <c r="A88" t="s">
        <v>108</v>
      </c>
      <c r="B88" t="s">
        <v>12</v>
      </c>
      <c r="C88">
        <v>140000029</v>
      </c>
      <c r="D88" s="1">
        <v>45337</v>
      </c>
      <c r="E88">
        <v>6235.2</v>
      </c>
      <c r="F88">
        <v>0</v>
      </c>
      <c r="G88">
        <v>700000419</v>
      </c>
      <c r="H88" s="1">
        <v>45397</v>
      </c>
      <c r="I88">
        <f>YEAR(Table1[[#This Row],[Posting Date]])</f>
        <v>2024</v>
      </c>
      <c r="J88">
        <f>MONTH(Table1[[#This Row],[Posting Date]])</f>
        <v>2</v>
      </c>
      <c r="K88" t="str">
        <f>IF(Table1[[#This Row],[Type]]="IN",VLOOKUP(Table1[[#This Row],[Cust '#]],ClientInfo!$A:$D,4,0),"")</f>
        <v>NET30</v>
      </c>
      <c r="L88" s="1">
        <f>IF(K88="NET30",Table1[[#This Row],[Posting Date]]+30,IF(K88="NET15",Table1[[#This Row],[Posting Date]]+15,IF(K88="COD",Table1[[#This Row],[Posting Date]],"")))</f>
        <v>45367</v>
      </c>
      <c r="M88" s="4">
        <f>IFERROR(IF(Table1[[#This Row],[Type]]="IN",Table1[[#This Row],[RC Date]]-Table1[[#This Row],[Posting Date]],""),"")</f>
        <v>60</v>
      </c>
      <c r="N88">
        <f>IFERROR(IF(Table1[[#This Row],[Balance Due (LC)]]&lt;&gt;0,$S$1-L88,0),"")</f>
        <v>0</v>
      </c>
      <c r="O88">
        <f>IFERROR(IF(Table1[[#This Row],[Type]]="IN",Table1[[#This Row],[C/D (LC)]],IF(Table1[[#This Row],[Type]]="CN",Table1[[#This Row],[C/D (LC)]],"")),"")</f>
        <v>6235.2</v>
      </c>
      <c r="P88" t="str">
        <f>VLOOKUP(Table1[[#This Row],[Cust '#]],ClientInfo!$A:$B,2,0)</f>
        <v>Client_02</v>
      </c>
      <c r="Q88" t="str">
        <f>IFERROR(IF(#REF!&lt;&gt;0,$S$1-P88,0),"")</f>
        <v/>
      </c>
      <c r="R88" t="str">
        <f>IFERROR(IF(#REF!="IN",#REF!,IF(#REF!="CN",#REF!,"")),"")</f>
        <v/>
      </c>
    </row>
    <row r="89" spans="1:18">
      <c r="A89" t="s">
        <v>108</v>
      </c>
      <c r="B89" t="s">
        <v>12</v>
      </c>
      <c r="C89">
        <v>140000030</v>
      </c>
      <c r="D89" s="1">
        <v>45351</v>
      </c>
      <c r="E89">
        <v>4250.3999999999996</v>
      </c>
      <c r="F89">
        <v>0</v>
      </c>
      <c r="G89">
        <v>700000419</v>
      </c>
      <c r="H89" s="1">
        <v>45397</v>
      </c>
      <c r="I89">
        <f>YEAR(Table1[[#This Row],[Posting Date]])</f>
        <v>2024</v>
      </c>
      <c r="J89">
        <f>MONTH(Table1[[#This Row],[Posting Date]])</f>
        <v>2</v>
      </c>
      <c r="K89" t="str">
        <f>IF(Table1[[#This Row],[Type]]="IN",VLOOKUP(Table1[[#This Row],[Cust '#]],ClientInfo!$A:$D,4,0),"")</f>
        <v>NET30</v>
      </c>
      <c r="L89" s="1">
        <f>IF(K89="NET30",Table1[[#This Row],[Posting Date]]+30,IF(K89="NET15",Table1[[#This Row],[Posting Date]]+15,IF(K89="COD",Table1[[#This Row],[Posting Date]],"")))</f>
        <v>45381</v>
      </c>
      <c r="M89" s="4">
        <f>IFERROR(IF(Table1[[#This Row],[Type]]="IN",Table1[[#This Row],[RC Date]]-Table1[[#This Row],[Posting Date]],""),"")</f>
        <v>46</v>
      </c>
      <c r="N89">
        <f>IFERROR(IF(Table1[[#This Row],[Balance Due (LC)]]&lt;&gt;0,$S$1-L89,0),"")</f>
        <v>0</v>
      </c>
      <c r="O89">
        <f>IFERROR(IF(Table1[[#This Row],[Type]]="IN",Table1[[#This Row],[C/D (LC)]],IF(Table1[[#This Row],[Type]]="CN",Table1[[#This Row],[C/D (LC)]],"")),"")</f>
        <v>4250.3999999999996</v>
      </c>
      <c r="P89" t="str">
        <f>VLOOKUP(Table1[[#This Row],[Cust '#]],ClientInfo!$A:$B,2,0)</f>
        <v>Client_02</v>
      </c>
      <c r="Q89" t="str">
        <f>IFERROR(IF(#REF!&lt;&gt;0,$S$1-P89,0),"")</f>
        <v/>
      </c>
      <c r="R89" t="str">
        <f>IFERROR(IF(#REF!="IN",#REF!,IF(#REF!="CN",#REF!,"")),"")</f>
        <v/>
      </c>
    </row>
    <row r="90" spans="1:18">
      <c r="A90" t="s">
        <v>108</v>
      </c>
      <c r="B90" t="s">
        <v>10</v>
      </c>
      <c r="C90">
        <v>700000103</v>
      </c>
      <c r="D90" s="1">
        <v>45356</v>
      </c>
      <c r="E90">
        <v>-8926.2000000000007</v>
      </c>
      <c r="F90">
        <v>0</v>
      </c>
      <c r="G90">
        <v>700000103</v>
      </c>
      <c r="H90" s="1">
        <v>45356</v>
      </c>
      <c r="I90">
        <f>YEAR(Table1[[#This Row],[Posting Date]])</f>
        <v>2024</v>
      </c>
      <c r="J90">
        <f>MONTH(Table1[[#This Row],[Posting Date]])</f>
        <v>3</v>
      </c>
      <c r="K90" t="str">
        <f>IF(Table1[[#This Row],[Type]]="IN",VLOOKUP(Table1[[#This Row],[Cust '#]],ClientInfo!$A:$D,4,0),"")</f>
        <v/>
      </c>
      <c r="L90" s="1" t="str">
        <f>IF(K90="NET30",Table1[[#This Row],[Posting Date]]+30,IF(K90="NET15",Table1[[#This Row],[Posting Date]]+15,IF(K90="COD",Table1[[#This Row],[Posting Date]],"")))</f>
        <v/>
      </c>
      <c r="M90" s="4" t="str">
        <f>IFERROR(IF(Table1[[#This Row],[Type]]="IN",Table1[[#This Row],[RC Date]]-Table1[[#This Row],[Posting Date]],""),"")</f>
        <v/>
      </c>
      <c r="N90">
        <f>IFERROR(IF(Table1[[#This Row],[Balance Due (LC)]]&lt;&gt;0,$S$1-L90,0),"")</f>
        <v>0</v>
      </c>
      <c r="O90" t="str">
        <f>IFERROR(IF(Table1[[#This Row],[Type]]="IN",Table1[[#This Row],[C/D (LC)]],IF(Table1[[#This Row],[Type]]="CN",Table1[[#This Row],[C/D (LC)]],"")),"")</f>
        <v/>
      </c>
      <c r="P90" t="str">
        <f>VLOOKUP(Table1[[#This Row],[Cust '#]],ClientInfo!$A:$B,2,0)</f>
        <v>Client_02</v>
      </c>
      <c r="Q90" t="str">
        <f>IFERROR(IF(#REF!&lt;&gt;0,$S$1-P90,0),"")</f>
        <v/>
      </c>
      <c r="R90" t="str">
        <f>IFERROR(IF(#REF!="IN",#REF!,IF(#REF!="CN",#REF!,"")),"")</f>
        <v/>
      </c>
    </row>
    <row r="91" spans="1:18">
      <c r="A91" t="s">
        <v>108</v>
      </c>
      <c r="B91" t="s">
        <v>12</v>
      </c>
      <c r="C91">
        <v>140005005</v>
      </c>
      <c r="D91" s="1">
        <v>45365</v>
      </c>
      <c r="E91">
        <v>5789.7</v>
      </c>
      <c r="F91">
        <v>0</v>
      </c>
      <c r="G91">
        <v>700000716</v>
      </c>
      <c r="H91" s="1">
        <v>45436</v>
      </c>
      <c r="I91">
        <f>YEAR(Table1[[#This Row],[Posting Date]])</f>
        <v>2024</v>
      </c>
      <c r="J91">
        <f>MONTH(Table1[[#This Row],[Posting Date]])</f>
        <v>3</v>
      </c>
      <c r="K91" t="str">
        <f>IF(Table1[[#This Row],[Type]]="IN",VLOOKUP(Table1[[#This Row],[Cust '#]],ClientInfo!$A:$D,4,0),"")</f>
        <v>NET30</v>
      </c>
      <c r="L91" s="1">
        <f>IF(K91="NET30",Table1[[#This Row],[Posting Date]]+30,IF(K91="NET15",Table1[[#This Row],[Posting Date]]+15,IF(K91="COD",Table1[[#This Row],[Posting Date]],"")))</f>
        <v>45395</v>
      </c>
      <c r="M91" s="4">
        <f>IFERROR(IF(Table1[[#This Row],[Type]]="IN",Table1[[#This Row],[RC Date]]-Table1[[#This Row],[Posting Date]],""),"")</f>
        <v>71</v>
      </c>
      <c r="N91">
        <f>IFERROR(IF(Table1[[#This Row],[Balance Due (LC)]]&lt;&gt;0,$S$1-L91,0),"")</f>
        <v>0</v>
      </c>
      <c r="O91">
        <f>IFERROR(IF(Table1[[#This Row],[Type]]="IN",Table1[[#This Row],[C/D (LC)]],IF(Table1[[#This Row],[Type]]="CN",Table1[[#This Row],[C/D (LC)]],"")),"")</f>
        <v>5789.7</v>
      </c>
      <c r="P91" t="str">
        <f>VLOOKUP(Table1[[#This Row],[Cust '#]],ClientInfo!$A:$B,2,0)</f>
        <v>Client_02</v>
      </c>
      <c r="Q91" t="str">
        <f>IFERROR(IF(#REF!&lt;&gt;0,$S$1-P91,0),"")</f>
        <v/>
      </c>
      <c r="R91" t="str">
        <f>IFERROR(IF(#REF!="IN",#REF!,IF(#REF!="CN",#REF!,"")),"")</f>
        <v/>
      </c>
    </row>
    <row r="92" spans="1:18">
      <c r="A92" t="s">
        <v>108</v>
      </c>
      <c r="B92" t="s">
        <v>12</v>
      </c>
      <c r="C92">
        <v>140005637</v>
      </c>
      <c r="D92" s="1">
        <v>45379</v>
      </c>
      <c r="E92">
        <v>4365.8999999999996</v>
      </c>
      <c r="F92">
        <v>0</v>
      </c>
      <c r="G92">
        <v>700000716</v>
      </c>
      <c r="H92" s="1">
        <v>45436</v>
      </c>
      <c r="I92">
        <f>YEAR(Table1[[#This Row],[Posting Date]])</f>
        <v>2024</v>
      </c>
      <c r="J92">
        <f>MONTH(Table1[[#This Row],[Posting Date]])</f>
        <v>3</v>
      </c>
      <c r="K92" t="str">
        <f>IF(Table1[[#This Row],[Type]]="IN",VLOOKUP(Table1[[#This Row],[Cust '#]],ClientInfo!$A:$D,4,0),"")</f>
        <v>NET30</v>
      </c>
      <c r="L92" s="1">
        <f>IF(K92="NET30",Table1[[#This Row],[Posting Date]]+30,IF(K92="NET15",Table1[[#This Row],[Posting Date]]+15,IF(K92="COD",Table1[[#This Row],[Posting Date]],"")))</f>
        <v>45409</v>
      </c>
      <c r="M92" s="4">
        <f>IFERROR(IF(Table1[[#This Row],[Type]]="IN",Table1[[#This Row],[RC Date]]-Table1[[#This Row],[Posting Date]],""),"")</f>
        <v>57</v>
      </c>
      <c r="N92">
        <f>IFERROR(IF(Table1[[#This Row],[Balance Due (LC)]]&lt;&gt;0,$S$1-L92,0),"")</f>
        <v>0</v>
      </c>
      <c r="O92">
        <f>IFERROR(IF(Table1[[#This Row],[Type]]="IN",Table1[[#This Row],[C/D (LC)]],IF(Table1[[#This Row],[Type]]="CN",Table1[[#This Row],[C/D (LC)]],"")),"")</f>
        <v>4365.8999999999996</v>
      </c>
      <c r="P92" t="str">
        <f>VLOOKUP(Table1[[#This Row],[Cust '#]],ClientInfo!$A:$B,2,0)</f>
        <v>Client_02</v>
      </c>
      <c r="Q92" t="str">
        <f>IFERROR(IF(#REF!&lt;&gt;0,$S$1-P92,0),"")</f>
        <v/>
      </c>
      <c r="R92" t="str">
        <f>IFERROR(IF(#REF!="IN",#REF!,IF(#REF!="CN",#REF!,"")),"")</f>
        <v/>
      </c>
    </row>
    <row r="93" spans="1:18">
      <c r="A93" t="s">
        <v>108</v>
      </c>
      <c r="B93" t="s">
        <v>12</v>
      </c>
      <c r="C93">
        <v>140006272</v>
      </c>
      <c r="D93" s="1">
        <v>45393</v>
      </c>
      <c r="E93">
        <v>6696.2</v>
      </c>
      <c r="F93">
        <v>0</v>
      </c>
      <c r="G93">
        <v>700001048</v>
      </c>
      <c r="H93" s="1">
        <v>45481</v>
      </c>
      <c r="I93">
        <f>YEAR(Table1[[#This Row],[Posting Date]])</f>
        <v>2024</v>
      </c>
      <c r="J93">
        <f>MONTH(Table1[[#This Row],[Posting Date]])</f>
        <v>4</v>
      </c>
      <c r="K93" t="str">
        <f>IF(Table1[[#This Row],[Type]]="IN",VLOOKUP(Table1[[#This Row],[Cust '#]],ClientInfo!$A:$D,4,0),"")</f>
        <v>NET30</v>
      </c>
      <c r="L93" s="1">
        <f>IF(K93="NET30",Table1[[#This Row],[Posting Date]]+30,IF(K93="NET15",Table1[[#This Row],[Posting Date]]+15,IF(K93="COD",Table1[[#This Row],[Posting Date]],"")))</f>
        <v>45423</v>
      </c>
      <c r="M93" s="4">
        <f>IFERROR(IF(Table1[[#This Row],[Type]]="IN",Table1[[#This Row],[RC Date]]-Table1[[#This Row],[Posting Date]],""),"")</f>
        <v>88</v>
      </c>
      <c r="N93">
        <f>IFERROR(IF(Table1[[#This Row],[Balance Due (LC)]]&lt;&gt;0,$S$1-L93,0),"")</f>
        <v>0</v>
      </c>
      <c r="O93">
        <f>IFERROR(IF(Table1[[#This Row],[Type]]="IN",Table1[[#This Row],[C/D (LC)]],IF(Table1[[#This Row],[Type]]="CN",Table1[[#This Row],[C/D (LC)]],"")),"")</f>
        <v>6696.2</v>
      </c>
      <c r="P93" t="str">
        <f>VLOOKUP(Table1[[#This Row],[Cust '#]],ClientInfo!$A:$B,2,0)</f>
        <v>Client_02</v>
      </c>
      <c r="Q93" t="str">
        <f>IFERROR(IF(#REF!&lt;&gt;0,$S$1-P93,0),"")</f>
        <v/>
      </c>
      <c r="R93" t="str">
        <f>IFERROR(IF(#REF!="IN",#REF!,IF(#REF!="CN",#REF!,"")),"")</f>
        <v/>
      </c>
    </row>
    <row r="94" spans="1:18">
      <c r="A94" t="s">
        <v>108</v>
      </c>
      <c r="B94" t="s">
        <v>10</v>
      </c>
      <c r="C94">
        <v>700000418</v>
      </c>
      <c r="D94" s="1">
        <v>45397</v>
      </c>
      <c r="E94">
        <v>-10960.6</v>
      </c>
      <c r="F94">
        <v>0</v>
      </c>
      <c r="G94">
        <v>700000418</v>
      </c>
      <c r="H94" s="1">
        <v>45397</v>
      </c>
      <c r="I94">
        <f>YEAR(Table1[[#This Row],[Posting Date]])</f>
        <v>2024</v>
      </c>
      <c r="J94">
        <f>MONTH(Table1[[#This Row],[Posting Date]])</f>
        <v>4</v>
      </c>
      <c r="K94" t="str">
        <f>IF(Table1[[#This Row],[Type]]="IN",VLOOKUP(Table1[[#This Row],[Cust '#]],ClientInfo!$A:$D,4,0),"")</f>
        <v/>
      </c>
      <c r="L94" s="1" t="str">
        <f>IF(K94="NET30",Table1[[#This Row],[Posting Date]]+30,IF(K94="NET15",Table1[[#This Row],[Posting Date]]+15,IF(K94="COD",Table1[[#This Row],[Posting Date]],"")))</f>
        <v/>
      </c>
      <c r="M94" s="4" t="str">
        <f>IFERROR(IF(Table1[[#This Row],[Type]]="IN",Table1[[#This Row],[RC Date]]-Table1[[#This Row],[Posting Date]],""),"")</f>
        <v/>
      </c>
      <c r="N94">
        <f>IFERROR(IF(Table1[[#This Row],[Balance Due (LC)]]&lt;&gt;0,$S$1-L94,0),"")</f>
        <v>0</v>
      </c>
      <c r="O94" t="str">
        <f>IFERROR(IF(Table1[[#This Row],[Type]]="IN",Table1[[#This Row],[C/D (LC)]],IF(Table1[[#This Row],[Type]]="CN",Table1[[#This Row],[C/D (LC)]],"")),"")</f>
        <v/>
      </c>
      <c r="P94" t="str">
        <f>VLOOKUP(Table1[[#This Row],[Cust '#]],ClientInfo!$A:$B,2,0)</f>
        <v>Client_02</v>
      </c>
      <c r="Q94" t="str">
        <f>IFERROR(IF(#REF!&lt;&gt;0,$S$1-P94,0),"")</f>
        <v/>
      </c>
      <c r="R94" t="str">
        <f>IFERROR(IF(#REF!="IN",#REF!,IF(#REF!="CN",#REF!,"")),"")</f>
        <v/>
      </c>
    </row>
    <row r="95" spans="1:18">
      <c r="A95" t="s">
        <v>108</v>
      </c>
      <c r="B95" t="s">
        <v>10</v>
      </c>
      <c r="C95">
        <v>700000419</v>
      </c>
      <c r="D95" s="1">
        <v>45397</v>
      </c>
      <c r="E95">
        <v>-16527.3</v>
      </c>
      <c r="F95">
        <v>0</v>
      </c>
      <c r="G95">
        <v>700000419</v>
      </c>
      <c r="H95" s="1">
        <v>45397</v>
      </c>
      <c r="I95">
        <f>YEAR(Table1[[#This Row],[Posting Date]])</f>
        <v>2024</v>
      </c>
      <c r="J95">
        <f>MONTH(Table1[[#This Row],[Posting Date]])</f>
        <v>4</v>
      </c>
      <c r="K95" t="str">
        <f>IF(Table1[[#This Row],[Type]]="IN",VLOOKUP(Table1[[#This Row],[Cust '#]],ClientInfo!$A:$D,4,0),"")</f>
        <v/>
      </c>
      <c r="L95" s="1" t="str">
        <f>IF(K95="NET30",Table1[[#This Row],[Posting Date]]+30,IF(K95="NET15",Table1[[#This Row],[Posting Date]]+15,IF(K95="COD",Table1[[#This Row],[Posting Date]],"")))</f>
        <v/>
      </c>
      <c r="M95" s="4" t="str">
        <f>IFERROR(IF(Table1[[#This Row],[Type]]="IN",Table1[[#This Row],[RC Date]]-Table1[[#This Row],[Posting Date]],""),"")</f>
        <v/>
      </c>
      <c r="N95">
        <f>IFERROR(IF(Table1[[#This Row],[Balance Due (LC)]]&lt;&gt;0,$S$1-L95,0),"")</f>
        <v>0</v>
      </c>
      <c r="O95" t="str">
        <f>IFERROR(IF(Table1[[#This Row],[Type]]="IN",Table1[[#This Row],[C/D (LC)]],IF(Table1[[#This Row],[Type]]="CN",Table1[[#This Row],[C/D (LC)]],"")),"")</f>
        <v/>
      </c>
      <c r="P95" t="str">
        <f>VLOOKUP(Table1[[#This Row],[Cust '#]],ClientInfo!$A:$B,2,0)</f>
        <v>Client_02</v>
      </c>
      <c r="Q95" t="str">
        <f>IFERROR(IF(#REF!&lt;&gt;0,$S$1-P95,0),"")</f>
        <v/>
      </c>
      <c r="R95" t="str">
        <f>IFERROR(IF(#REF!="IN",#REF!,IF(#REF!="CN",#REF!,"")),"")</f>
        <v/>
      </c>
    </row>
    <row r="96" spans="1:18">
      <c r="A96" t="s">
        <v>108</v>
      </c>
      <c r="B96" t="s">
        <v>12</v>
      </c>
      <c r="C96">
        <v>140006942</v>
      </c>
      <c r="D96" s="1">
        <v>45407</v>
      </c>
      <c r="E96">
        <v>6967.2</v>
      </c>
      <c r="F96">
        <v>0</v>
      </c>
      <c r="G96">
        <v>700001048</v>
      </c>
      <c r="H96" s="1">
        <v>45481</v>
      </c>
      <c r="I96">
        <f>YEAR(Table1[[#This Row],[Posting Date]])</f>
        <v>2024</v>
      </c>
      <c r="J96">
        <f>MONTH(Table1[[#This Row],[Posting Date]])</f>
        <v>4</v>
      </c>
      <c r="K96" t="str">
        <f>IF(Table1[[#This Row],[Type]]="IN",VLOOKUP(Table1[[#This Row],[Cust '#]],ClientInfo!$A:$D,4,0),"")</f>
        <v>NET30</v>
      </c>
      <c r="L96" s="1">
        <f>IF(K96="NET30",Table1[[#This Row],[Posting Date]]+30,IF(K96="NET15",Table1[[#This Row],[Posting Date]]+15,IF(K96="COD",Table1[[#This Row],[Posting Date]],"")))</f>
        <v>45437</v>
      </c>
      <c r="M96" s="4">
        <f>IFERROR(IF(Table1[[#This Row],[Type]]="IN",Table1[[#This Row],[RC Date]]-Table1[[#This Row],[Posting Date]],""),"")</f>
        <v>74</v>
      </c>
      <c r="N96">
        <f>IFERROR(IF(Table1[[#This Row],[Balance Due (LC)]]&lt;&gt;0,$S$1-L96,0),"")</f>
        <v>0</v>
      </c>
      <c r="O96">
        <f>IFERROR(IF(Table1[[#This Row],[Type]]="IN",Table1[[#This Row],[C/D (LC)]],IF(Table1[[#This Row],[Type]]="CN",Table1[[#This Row],[C/D (LC)]],"")),"")</f>
        <v>6967.2</v>
      </c>
      <c r="P96" t="str">
        <f>VLOOKUP(Table1[[#This Row],[Cust '#]],ClientInfo!$A:$B,2,0)</f>
        <v>Client_02</v>
      </c>
      <c r="Q96" t="str">
        <f>IFERROR(IF(#REF!&lt;&gt;0,$S$1-P96,0),"")</f>
        <v/>
      </c>
      <c r="R96" t="str">
        <f>IFERROR(IF(#REF!="IN",#REF!,IF(#REF!="CN",#REF!,"")),"")</f>
        <v/>
      </c>
    </row>
    <row r="97" spans="1:18">
      <c r="A97" t="s">
        <v>108</v>
      </c>
      <c r="B97" t="s">
        <v>12</v>
      </c>
      <c r="C97">
        <v>140007608</v>
      </c>
      <c r="D97" s="1">
        <v>45421</v>
      </c>
      <c r="E97">
        <v>5883.4</v>
      </c>
      <c r="F97">
        <v>0</v>
      </c>
      <c r="G97">
        <v>700001251</v>
      </c>
      <c r="H97" s="1">
        <v>45509</v>
      </c>
      <c r="I97">
        <f>YEAR(Table1[[#This Row],[Posting Date]])</f>
        <v>2024</v>
      </c>
      <c r="J97">
        <f>MONTH(Table1[[#This Row],[Posting Date]])</f>
        <v>5</v>
      </c>
      <c r="K97" t="str">
        <f>IF(Table1[[#This Row],[Type]]="IN",VLOOKUP(Table1[[#This Row],[Cust '#]],ClientInfo!$A:$D,4,0),"")</f>
        <v>NET30</v>
      </c>
      <c r="L97" s="1">
        <f>IF(K97="NET30",Table1[[#This Row],[Posting Date]]+30,IF(K97="NET15",Table1[[#This Row],[Posting Date]]+15,IF(K97="COD",Table1[[#This Row],[Posting Date]],"")))</f>
        <v>45451</v>
      </c>
      <c r="M97" s="4">
        <f>IFERROR(IF(Table1[[#This Row],[Type]]="IN",Table1[[#This Row],[RC Date]]-Table1[[#This Row],[Posting Date]],""),"")</f>
        <v>88</v>
      </c>
      <c r="N97">
        <f>IFERROR(IF(Table1[[#This Row],[Balance Due (LC)]]&lt;&gt;0,$S$1-L97,0),"")</f>
        <v>0</v>
      </c>
      <c r="O97">
        <f>IFERROR(IF(Table1[[#This Row],[Type]]="IN",Table1[[#This Row],[C/D (LC)]],IF(Table1[[#This Row],[Type]]="CN",Table1[[#This Row],[C/D (LC)]],"")),"")</f>
        <v>5883.4</v>
      </c>
      <c r="P97" t="str">
        <f>VLOOKUP(Table1[[#This Row],[Cust '#]],ClientInfo!$A:$B,2,0)</f>
        <v>Client_02</v>
      </c>
      <c r="Q97" t="str">
        <f>IFERROR(IF(#REF!&lt;&gt;0,$S$1-P97,0),"")</f>
        <v/>
      </c>
      <c r="R97" t="str">
        <f>IFERROR(IF(#REF!="IN",#REF!,IF(#REF!="CN",#REF!,"")),"")</f>
        <v/>
      </c>
    </row>
    <row r="98" spans="1:18">
      <c r="A98" t="s">
        <v>108</v>
      </c>
      <c r="B98" t="s">
        <v>13</v>
      </c>
      <c r="C98">
        <v>150000317</v>
      </c>
      <c r="D98" s="1">
        <v>45429</v>
      </c>
      <c r="E98">
        <v>-13.3</v>
      </c>
      <c r="F98">
        <v>0</v>
      </c>
      <c r="G98">
        <v>700001251</v>
      </c>
      <c r="H98" s="1">
        <v>45509</v>
      </c>
      <c r="I98">
        <f>YEAR(Table1[[#This Row],[Posting Date]])</f>
        <v>2024</v>
      </c>
      <c r="J98">
        <f>MONTH(Table1[[#This Row],[Posting Date]])</f>
        <v>5</v>
      </c>
      <c r="K98" t="str">
        <f>IF(Table1[[#This Row],[Type]]="IN",VLOOKUP(Table1[[#This Row],[Cust '#]],ClientInfo!$A:$D,4,0),"")</f>
        <v/>
      </c>
      <c r="L98" s="1" t="str">
        <f>IF(K98="NET30",Table1[[#This Row],[Posting Date]]+30,IF(K98="NET15",Table1[[#This Row],[Posting Date]]+15,IF(K98="COD",Table1[[#This Row],[Posting Date]],"")))</f>
        <v/>
      </c>
      <c r="M98" s="4" t="str">
        <f>IFERROR(IF(Table1[[#This Row],[Type]]="IN",Table1[[#This Row],[RC Date]]-Table1[[#This Row],[Posting Date]],""),"")</f>
        <v/>
      </c>
      <c r="N98">
        <f>IFERROR(IF(Table1[[#This Row],[Balance Due (LC)]]&lt;&gt;0,$S$1-L98,0),"")</f>
        <v>0</v>
      </c>
      <c r="O98">
        <f>IFERROR(IF(Table1[[#This Row],[Type]]="IN",Table1[[#This Row],[C/D (LC)]],IF(Table1[[#This Row],[Type]]="CN",Table1[[#This Row],[C/D (LC)]],"")),"")</f>
        <v>-13.3</v>
      </c>
      <c r="P98" t="str">
        <f>VLOOKUP(Table1[[#This Row],[Cust '#]],ClientInfo!$A:$B,2,0)</f>
        <v>Client_02</v>
      </c>
      <c r="Q98" t="str">
        <f>IFERROR(IF(#REF!&lt;&gt;0,$S$1-P98,0),"")</f>
        <v/>
      </c>
      <c r="R98" t="str">
        <f>IFERROR(IF(#REF!="IN",#REF!,IF(#REF!="CN",#REF!,"")),"")</f>
        <v/>
      </c>
    </row>
    <row r="99" spans="1:18">
      <c r="A99" t="s">
        <v>108</v>
      </c>
      <c r="B99" t="s">
        <v>12</v>
      </c>
      <c r="C99">
        <v>140008243</v>
      </c>
      <c r="D99" s="1">
        <v>45435</v>
      </c>
      <c r="E99">
        <v>5721.4</v>
      </c>
      <c r="F99">
        <v>0</v>
      </c>
      <c r="G99">
        <v>700001251</v>
      </c>
      <c r="H99" s="1">
        <v>45509</v>
      </c>
      <c r="I99">
        <f>YEAR(Table1[[#This Row],[Posting Date]])</f>
        <v>2024</v>
      </c>
      <c r="J99">
        <f>MONTH(Table1[[#This Row],[Posting Date]])</f>
        <v>5</v>
      </c>
      <c r="K99" t="str">
        <f>IF(Table1[[#This Row],[Type]]="IN",VLOOKUP(Table1[[#This Row],[Cust '#]],ClientInfo!$A:$D,4,0),"")</f>
        <v>NET30</v>
      </c>
      <c r="L99" s="1">
        <f>IF(K99="NET30",Table1[[#This Row],[Posting Date]]+30,IF(K99="NET15",Table1[[#This Row],[Posting Date]]+15,IF(K99="COD",Table1[[#This Row],[Posting Date]],"")))</f>
        <v>45465</v>
      </c>
      <c r="M99" s="4">
        <f>IFERROR(IF(Table1[[#This Row],[Type]]="IN",Table1[[#This Row],[RC Date]]-Table1[[#This Row],[Posting Date]],""),"")</f>
        <v>74</v>
      </c>
      <c r="N99">
        <f>IFERROR(IF(Table1[[#This Row],[Balance Due (LC)]]&lt;&gt;0,$S$1-L99,0),"")</f>
        <v>0</v>
      </c>
      <c r="O99">
        <f>IFERROR(IF(Table1[[#This Row],[Type]]="IN",Table1[[#This Row],[C/D (LC)]],IF(Table1[[#This Row],[Type]]="CN",Table1[[#This Row],[C/D (LC)]],"")),"")</f>
        <v>5721.4</v>
      </c>
      <c r="P99" t="str">
        <f>VLOOKUP(Table1[[#This Row],[Cust '#]],ClientInfo!$A:$B,2,0)</f>
        <v>Client_02</v>
      </c>
      <c r="Q99" t="str">
        <f>IFERROR(IF(#REF!&lt;&gt;0,$S$1-P99,0),"")</f>
        <v/>
      </c>
      <c r="R99" t="str">
        <f>IFERROR(IF(#REF!="IN",#REF!,IF(#REF!="CN",#REF!,"")),"")</f>
        <v/>
      </c>
    </row>
    <row r="100" spans="1:18">
      <c r="A100" t="s">
        <v>108</v>
      </c>
      <c r="B100" t="s">
        <v>10</v>
      </c>
      <c r="C100">
        <v>700000716</v>
      </c>
      <c r="D100" s="1">
        <v>45436</v>
      </c>
      <c r="E100">
        <v>-10155.6</v>
      </c>
      <c r="F100">
        <v>0</v>
      </c>
      <c r="G100">
        <v>700000716</v>
      </c>
      <c r="H100" s="1">
        <v>45436</v>
      </c>
      <c r="I100">
        <f>YEAR(Table1[[#This Row],[Posting Date]])</f>
        <v>2024</v>
      </c>
      <c r="J100">
        <f>MONTH(Table1[[#This Row],[Posting Date]])</f>
        <v>5</v>
      </c>
      <c r="K100" t="str">
        <f>IF(Table1[[#This Row],[Type]]="IN",VLOOKUP(Table1[[#This Row],[Cust '#]],ClientInfo!$A:$D,4,0),"")</f>
        <v/>
      </c>
      <c r="L100" s="1" t="str">
        <f>IF(K100="NET30",Table1[[#This Row],[Posting Date]]+30,IF(K100="NET15",Table1[[#This Row],[Posting Date]]+15,IF(K100="COD",Table1[[#This Row],[Posting Date]],"")))</f>
        <v/>
      </c>
      <c r="M100" s="4" t="str">
        <f>IFERROR(IF(Table1[[#This Row],[Type]]="IN",Table1[[#This Row],[RC Date]]-Table1[[#This Row],[Posting Date]],""),"")</f>
        <v/>
      </c>
      <c r="N100">
        <f>IFERROR(IF(Table1[[#This Row],[Balance Due (LC)]]&lt;&gt;0,$S$1-L100,0),"")</f>
        <v>0</v>
      </c>
      <c r="O100" t="str">
        <f>IFERROR(IF(Table1[[#This Row],[Type]]="IN",Table1[[#This Row],[C/D (LC)]],IF(Table1[[#This Row],[Type]]="CN",Table1[[#This Row],[C/D (LC)]],"")),"")</f>
        <v/>
      </c>
      <c r="P100" t="str">
        <f>VLOOKUP(Table1[[#This Row],[Cust '#]],ClientInfo!$A:$B,2,0)</f>
        <v>Client_02</v>
      </c>
      <c r="Q100" t="str">
        <f>IFERROR(IF(#REF!&lt;&gt;0,$S$1-P100,0),"")</f>
        <v/>
      </c>
      <c r="R100" t="str">
        <f>IFERROR(IF(#REF!="IN",#REF!,IF(#REF!="CN",#REF!,"")),"")</f>
        <v/>
      </c>
    </row>
    <row r="101" spans="1:18">
      <c r="A101" t="s">
        <v>108</v>
      </c>
      <c r="B101" t="s">
        <v>12</v>
      </c>
      <c r="C101">
        <v>140008887</v>
      </c>
      <c r="D101" s="1">
        <v>45449</v>
      </c>
      <c r="E101">
        <v>7262.8</v>
      </c>
      <c r="F101">
        <v>0</v>
      </c>
      <c r="G101">
        <v>700001372</v>
      </c>
      <c r="H101" s="1">
        <v>45523</v>
      </c>
      <c r="I101">
        <f>YEAR(Table1[[#This Row],[Posting Date]])</f>
        <v>2024</v>
      </c>
      <c r="J101">
        <f>MONTH(Table1[[#This Row],[Posting Date]])</f>
        <v>6</v>
      </c>
      <c r="K101" t="str">
        <f>IF(Table1[[#This Row],[Type]]="IN",VLOOKUP(Table1[[#This Row],[Cust '#]],ClientInfo!$A:$D,4,0),"")</f>
        <v>NET30</v>
      </c>
      <c r="L101" s="1">
        <f>IF(K101="NET30",Table1[[#This Row],[Posting Date]]+30,IF(K101="NET15",Table1[[#This Row],[Posting Date]]+15,IF(K101="COD",Table1[[#This Row],[Posting Date]],"")))</f>
        <v>45479</v>
      </c>
      <c r="M101" s="4">
        <f>IFERROR(IF(Table1[[#This Row],[Type]]="IN",Table1[[#This Row],[RC Date]]-Table1[[#This Row],[Posting Date]],""),"")</f>
        <v>74</v>
      </c>
      <c r="N101">
        <f>IFERROR(IF(Table1[[#This Row],[Balance Due (LC)]]&lt;&gt;0,$S$1-L101,0),"")</f>
        <v>0</v>
      </c>
      <c r="O101">
        <f>IFERROR(IF(Table1[[#This Row],[Type]]="IN",Table1[[#This Row],[C/D (LC)]],IF(Table1[[#This Row],[Type]]="CN",Table1[[#This Row],[C/D (LC)]],"")),"")</f>
        <v>7262.8</v>
      </c>
      <c r="P101" t="str">
        <f>VLOOKUP(Table1[[#This Row],[Cust '#]],ClientInfo!$A:$B,2,0)</f>
        <v>Client_02</v>
      </c>
      <c r="Q101" t="str">
        <f>IFERROR(IF(#REF!&lt;&gt;0,$S$1-P101,0),"")</f>
        <v/>
      </c>
      <c r="R101" t="str">
        <f>IFERROR(IF(#REF!="IN",#REF!,IF(#REF!="CN",#REF!,"")),"")</f>
        <v/>
      </c>
    </row>
    <row r="102" spans="1:18">
      <c r="A102" t="s">
        <v>108</v>
      </c>
      <c r="B102" t="s">
        <v>12</v>
      </c>
      <c r="C102">
        <v>140009516</v>
      </c>
      <c r="D102" s="1">
        <v>45463</v>
      </c>
      <c r="E102">
        <v>6679.6</v>
      </c>
      <c r="F102">
        <v>0</v>
      </c>
      <c r="G102">
        <v>700001372</v>
      </c>
      <c r="H102" s="1">
        <v>45523</v>
      </c>
      <c r="I102">
        <f>YEAR(Table1[[#This Row],[Posting Date]])</f>
        <v>2024</v>
      </c>
      <c r="J102">
        <f>MONTH(Table1[[#This Row],[Posting Date]])</f>
        <v>6</v>
      </c>
      <c r="K102" t="str">
        <f>IF(Table1[[#This Row],[Type]]="IN",VLOOKUP(Table1[[#This Row],[Cust '#]],ClientInfo!$A:$D,4,0),"")</f>
        <v>NET30</v>
      </c>
      <c r="L102" s="1">
        <f>IF(K102="NET30",Table1[[#This Row],[Posting Date]]+30,IF(K102="NET15",Table1[[#This Row],[Posting Date]]+15,IF(K102="COD",Table1[[#This Row],[Posting Date]],"")))</f>
        <v>45493</v>
      </c>
      <c r="M102" s="4">
        <f>IFERROR(IF(Table1[[#This Row],[Type]]="IN",Table1[[#This Row],[RC Date]]-Table1[[#This Row],[Posting Date]],""),"")</f>
        <v>60</v>
      </c>
      <c r="N102">
        <f>IFERROR(IF(Table1[[#This Row],[Balance Due (LC)]]&lt;&gt;0,$S$1-L102,0),"")</f>
        <v>0</v>
      </c>
      <c r="O102">
        <f>IFERROR(IF(Table1[[#This Row],[Type]]="IN",Table1[[#This Row],[C/D (LC)]],IF(Table1[[#This Row],[Type]]="CN",Table1[[#This Row],[C/D (LC)]],"")),"")</f>
        <v>6679.6</v>
      </c>
      <c r="P102" t="str">
        <f>VLOOKUP(Table1[[#This Row],[Cust '#]],ClientInfo!$A:$B,2,0)</f>
        <v>Client_02</v>
      </c>
      <c r="Q102" t="str">
        <f>IFERROR(IF(#REF!&lt;&gt;0,$S$1-P102,0),"")</f>
        <v/>
      </c>
      <c r="R102" t="str">
        <f>IFERROR(IF(#REF!="IN",#REF!,IF(#REF!="CN",#REF!,"")),"")</f>
        <v/>
      </c>
    </row>
    <row r="103" spans="1:18">
      <c r="A103" t="s">
        <v>108</v>
      </c>
      <c r="B103" t="s">
        <v>12</v>
      </c>
      <c r="C103">
        <v>140010174</v>
      </c>
      <c r="D103" s="1">
        <v>45477</v>
      </c>
      <c r="E103">
        <v>6956.1</v>
      </c>
      <c r="F103">
        <v>0</v>
      </c>
      <c r="G103">
        <v>700001671</v>
      </c>
      <c r="H103" s="1">
        <v>45561</v>
      </c>
      <c r="I103">
        <f>YEAR(Table1[[#This Row],[Posting Date]])</f>
        <v>2024</v>
      </c>
      <c r="J103">
        <f>MONTH(Table1[[#This Row],[Posting Date]])</f>
        <v>7</v>
      </c>
      <c r="K103" t="str">
        <f>IF(Table1[[#This Row],[Type]]="IN",VLOOKUP(Table1[[#This Row],[Cust '#]],ClientInfo!$A:$D,4,0),"")</f>
        <v>NET30</v>
      </c>
      <c r="L103" s="1">
        <f>IF(K103="NET30",Table1[[#This Row],[Posting Date]]+30,IF(K103="NET15",Table1[[#This Row],[Posting Date]]+15,IF(K103="COD",Table1[[#This Row],[Posting Date]],"")))</f>
        <v>45507</v>
      </c>
      <c r="M103" s="4">
        <f>IFERROR(IF(Table1[[#This Row],[Type]]="IN",Table1[[#This Row],[RC Date]]-Table1[[#This Row],[Posting Date]],""),"")</f>
        <v>84</v>
      </c>
      <c r="N103">
        <f>IFERROR(IF(Table1[[#This Row],[Balance Due (LC)]]&lt;&gt;0,$S$1-L103,0),"")</f>
        <v>0</v>
      </c>
      <c r="O103">
        <f>IFERROR(IF(Table1[[#This Row],[Type]]="IN",Table1[[#This Row],[C/D (LC)]],IF(Table1[[#This Row],[Type]]="CN",Table1[[#This Row],[C/D (LC)]],"")),"")</f>
        <v>6956.1</v>
      </c>
      <c r="P103" t="str">
        <f>VLOOKUP(Table1[[#This Row],[Cust '#]],ClientInfo!$A:$B,2,0)</f>
        <v>Client_02</v>
      </c>
      <c r="Q103" t="str">
        <f>IFERROR(IF(#REF!&lt;&gt;0,$S$1-P103,0),"")</f>
        <v/>
      </c>
      <c r="R103" t="str">
        <f>IFERROR(IF(#REF!="IN",#REF!,IF(#REF!="CN",#REF!,"")),"")</f>
        <v/>
      </c>
    </row>
    <row r="104" spans="1:18">
      <c r="A104" t="s">
        <v>108</v>
      </c>
      <c r="B104" t="s">
        <v>10</v>
      </c>
      <c r="C104">
        <v>700001048</v>
      </c>
      <c r="D104" s="1">
        <v>45481</v>
      </c>
      <c r="E104">
        <v>-13663.4</v>
      </c>
      <c r="F104">
        <v>0</v>
      </c>
      <c r="G104">
        <v>700001048</v>
      </c>
      <c r="H104" s="1">
        <v>45481</v>
      </c>
      <c r="I104">
        <f>YEAR(Table1[[#This Row],[Posting Date]])</f>
        <v>2024</v>
      </c>
      <c r="J104">
        <f>MONTH(Table1[[#This Row],[Posting Date]])</f>
        <v>7</v>
      </c>
      <c r="K104" t="str">
        <f>IF(Table1[[#This Row],[Type]]="IN",VLOOKUP(Table1[[#This Row],[Cust '#]],ClientInfo!$A:$D,4,0),"")</f>
        <v/>
      </c>
      <c r="L104" s="1" t="str">
        <f>IF(K104="NET30",Table1[[#This Row],[Posting Date]]+30,IF(K104="NET15",Table1[[#This Row],[Posting Date]]+15,IF(K104="COD",Table1[[#This Row],[Posting Date]],"")))</f>
        <v/>
      </c>
      <c r="M104" s="4" t="str">
        <f>IFERROR(IF(Table1[[#This Row],[Type]]="IN",Table1[[#This Row],[RC Date]]-Table1[[#This Row],[Posting Date]],""),"")</f>
        <v/>
      </c>
      <c r="N104">
        <f>IFERROR(IF(Table1[[#This Row],[Balance Due (LC)]]&lt;&gt;0,$S$1-L104,0),"")</f>
        <v>0</v>
      </c>
      <c r="O104" t="str">
        <f>IFERROR(IF(Table1[[#This Row],[Type]]="IN",Table1[[#This Row],[C/D (LC)]],IF(Table1[[#This Row],[Type]]="CN",Table1[[#This Row],[C/D (LC)]],"")),"")</f>
        <v/>
      </c>
      <c r="P104" t="str">
        <f>VLOOKUP(Table1[[#This Row],[Cust '#]],ClientInfo!$A:$B,2,0)</f>
        <v>Client_02</v>
      </c>
      <c r="Q104" t="str">
        <f>IFERROR(IF(#REF!&lt;&gt;0,$S$1-P104,0),"")</f>
        <v/>
      </c>
      <c r="R104" t="str">
        <f>IFERROR(IF(#REF!="IN",#REF!,IF(#REF!="CN",#REF!,"")),"")</f>
        <v/>
      </c>
    </row>
    <row r="105" spans="1:18">
      <c r="A105" t="s">
        <v>108</v>
      </c>
      <c r="B105" t="s">
        <v>12</v>
      </c>
      <c r="C105">
        <v>140010787</v>
      </c>
      <c r="D105" s="1">
        <v>45491</v>
      </c>
      <c r="E105">
        <v>5486.2</v>
      </c>
      <c r="F105">
        <v>0</v>
      </c>
      <c r="G105">
        <v>700001671</v>
      </c>
      <c r="H105" s="1">
        <v>45561</v>
      </c>
      <c r="I105">
        <f>YEAR(Table1[[#This Row],[Posting Date]])</f>
        <v>2024</v>
      </c>
      <c r="J105">
        <f>MONTH(Table1[[#This Row],[Posting Date]])</f>
        <v>7</v>
      </c>
      <c r="K105" t="str">
        <f>IF(Table1[[#This Row],[Type]]="IN",VLOOKUP(Table1[[#This Row],[Cust '#]],ClientInfo!$A:$D,4,0),"")</f>
        <v>NET30</v>
      </c>
      <c r="L105" s="1">
        <f>IF(K105="NET30",Table1[[#This Row],[Posting Date]]+30,IF(K105="NET15",Table1[[#This Row],[Posting Date]]+15,IF(K105="COD",Table1[[#This Row],[Posting Date]],"")))</f>
        <v>45521</v>
      </c>
      <c r="M105" s="4">
        <f>IFERROR(IF(Table1[[#This Row],[Type]]="IN",Table1[[#This Row],[RC Date]]-Table1[[#This Row],[Posting Date]],""),"")</f>
        <v>70</v>
      </c>
      <c r="N105">
        <f>IFERROR(IF(Table1[[#This Row],[Balance Due (LC)]]&lt;&gt;0,$S$1-L105,0),"")</f>
        <v>0</v>
      </c>
      <c r="O105">
        <f>IFERROR(IF(Table1[[#This Row],[Type]]="IN",Table1[[#This Row],[C/D (LC)]],IF(Table1[[#This Row],[Type]]="CN",Table1[[#This Row],[C/D (LC)]],"")),"")</f>
        <v>5486.2</v>
      </c>
      <c r="P105" t="str">
        <f>VLOOKUP(Table1[[#This Row],[Cust '#]],ClientInfo!$A:$B,2,0)</f>
        <v>Client_02</v>
      </c>
      <c r="Q105" t="str">
        <f>IFERROR(IF(#REF!&lt;&gt;0,$S$1-P105,0),"")</f>
        <v/>
      </c>
      <c r="R105" t="str">
        <f>IFERROR(IF(#REF!="IN",#REF!,IF(#REF!="CN",#REF!,"")),"")</f>
        <v/>
      </c>
    </row>
    <row r="106" spans="1:18">
      <c r="A106" t="s">
        <v>108</v>
      </c>
      <c r="B106" t="s">
        <v>12</v>
      </c>
      <c r="C106">
        <v>140011454</v>
      </c>
      <c r="D106" s="1">
        <v>45506</v>
      </c>
      <c r="E106">
        <v>4438.6000000000004</v>
      </c>
      <c r="F106">
        <v>0</v>
      </c>
      <c r="G106">
        <v>700001894</v>
      </c>
      <c r="H106" s="1">
        <v>45590</v>
      </c>
      <c r="I106">
        <f>YEAR(Table1[[#This Row],[Posting Date]])</f>
        <v>2024</v>
      </c>
      <c r="J106">
        <f>MONTH(Table1[[#This Row],[Posting Date]])</f>
        <v>8</v>
      </c>
      <c r="K106" t="str">
        <f>IF(Table1[[#This Row],[Type]]="IN",VLOOKUP(Table1[[#This Row],[Cust '#]],ClientInfo!$A:$D,4,0),"")</f>
        <v>NET30</v>
      </c>
      <c r="L106" s="1">
        <f>IF(K106="NET30",Table1[[#This Row],[Posting Date]]+30,IF(K106="NET15",Table1[[#This Row],[Posting Date]]+15,IF(K106="COD",Table1[[#This Row],[Posting Date]],"")))</f>
        <v>45536</v>
      </c>
      <c r="M106" s="4">
        <f>IFERROR(IF(Table1[[#This Row],[Type]]="IN",Table1[[#This Row],[RC Date]]-Table1[[#This Row],[Posting Date]],""),"")</f>
        <v>84</v>
      </c>
      <c r="N106">
        <f>IFERROR(IF(Table1[[#This Row],[Balance Due (LC)]]&lt;&gt;0,$S$1-L106,0),"")</f>
        <v>0</v>
      </c>
      <c r="O106">
        <f>IFERROR(IF(Table1[[#This Row],[Type]]="IN",Table1[[#This Row],[C/D (LC)]],IF(Table1[[#This Row],[Type]]="CN",Table1[[#This Row],[C/D (LC)]],"")),"")</f>
        <v>4438.6000000000004</v>
      </c>
      <c r="P106" t="str">
        <f>VLOOKUP(Table1[[#This Row],[Cust '#]],ClientInfo!$A:$B,2,0)</f>
        <v>Client_02</v>
      </c>
      <c r="Q106" t="str">
        <f>IFERROR(IF(#REF!&lt;&gt;0,$S$1-P106,0),"")</f>
        <v/>
      </c>
      <c r="R106" t="str">
        <f>IFERROR(IF(#REF!="IN",#REF!,IF(#REF!="CN",#REF!,"")),"")</f>
        <v/>
      </c>
    </row>
    <row r="107" spans="1:18">
      <c r="A107" t="s">
        <v>108</v>
      </c>
      <c r="B107" t="s">
        <v>10</v>
      </c>
      <c r="C107">
        <v>700001251</v>
      </c>
      <c r="D107" s="1">
        <v>45509</v>
      </c>
      <c r="E107">
        <v>-11591.5</v>
      </c>
      <c r="F107">
        <v>0</v>
      </c>
      <c r="G107">
        <v>700001251</v>
      </c>
      <c r="H107" s="1">
        <v>45509</v>
      </c>
      <c r="I107">
        <f>YEAR(Table1[[#This Row],[Posting Date]])</f>
        <v>2024</v>
      </c>
      <c r="J107">
        <f>MONTH(Table1[[#This Row],[Posting Date]])</f>
        <v>8</v>
      </c>
      <c r="K107" t="str">
        <f>IF(Table1[[#This Row],[Type]]="IN",VLOOKUP(Table1[[#This Row],[Cust '#]],ClientInfo!$A:$D,4,0),"")</f>
        <v/>
      </c>
      <c r="L107" s="1" t="str">
        <f>IF(K107="NET30",Table1[[#This Row],[Posting Date]]+30,IF(K107="NET15",Table1[[#This Row],[Posting Date]]+15,IF(K107="COD",Table1[[#This Row],[Posting Date]],"")))</f>
        <v/>
      </c>
      <c r="M107" s="4" t="str">
        <f>IFERROR(IF(Table1[[#This Row],[Type]]="IN",Table1[[#This Row],[RC Date]]-Table1[[#This Row],[Posting Date]],""),"")</f>
        <v/>
      </c>
      <c r="N107">
        <f>IFERROR(IF(Table1[[#This Row],[Balance Due (LC)]]&lt;&gt;0,$S$1-L107,0),"")</f>
        <v>0</v>
      </c>
      <c r="O107" t="str">
        <f>IFERROR(IF(Table1[[#This Row],[Type]]="IN",Table1[[#This Row],[C/D (LC)]],IF(Table1[[#This Row],[Type]]="CN",Table1[[#This Row],[C/D (LC)]],"")),"")</f>
        <v/>
      </c>
      <c r="P107" t="str">
        <f>VLOOKUP(Table1[[#This Row],[Cust '#]],ClientInfo!$A:$B,2,0)</f>
        <v>Client_02</v>
      </c>
      <c r="Q107" t="str">
        <f>IFERROR(IF(#REF!&lt;&gt;0,$S$1-P107,0),"")</f>
        <v/>
      </c>
      <c r="R107" t="str">
        <f>IFERROR(IF(#REF!="IN",#REF!,IF(#REF!="CN",#REF!,"")),"")</f>
        <v/>
      </c>
    </row>
    <row r="108" spans="1:18">
      <c r="A108" t="s">
        <v>108</v>
      </c>
      <c r="B108" t="s">
        <v>12</v>
      </c>
      <c r="C108">
        <v>140012046</v>
      </c>
      <c r="D108" s="1">
        <v>45519</v>
      </c>
      <c r="E108">
        <v>6751.4</v>
      </c>
      <c r="F108">
        <v>0</v>
      </c>
      <c r="G108">
        <v>700001894</v>
      </c>
      <c r="H108" s="1">
        <v>45590</v>
      </c>
      <c r="I108">
        <f>YEAR(Table1[[#This Row],[Posting Date]])</f>
        <v>2024</v>
      </c>
      <c r="J108">
        <f>MONTH(Table1[[#This Row],[Posting Date]])</f>
        <v>8</v>
      </c>
      <c r="K108" t="str">
        <f>IF(Table1[[#This Row],[Type]]="IN",VLOOKUP(Table1[[#This Row],[Cust '#]],ClientInfo!$A:$D,4,0),"")</f>
        <v>NET30</v>
      </c>
      <c r="L108" s="1">
        <f>IF(K108="NET30",Table1[[#This Row],[Posting Date]]+30,IF(K108="NET15",Table1[[#This Row],[Posting Date]]+15,IF(K108="COD",Table1[[#This Row],[Posting Date]],"")))</f>
        <v>45549</v>
      </c>
      <c r="M108" s="4">
        <f>IFERROR(IF(Table1[[#This Row],[Type]]="IN",Table1[[#This Row],[RC Date]]-Table1[[#This Row],[Posting Date]],""),"")</f>
        <v>71</v>
      </c>
      <c r="N108">
        <f>IFERROR(IF(Table1[[#This Row],[Balance Due (LC)]]&lt;&gt;0,$S$1-L108,0),"")</f>
        <v>0</v>
      </c>
      <c r="O108">
        <f>IFERROR(IF(Table1[[#This Row],[Type]]="IN",Table1[[#This Row],[C/D (LC)]],IF(Table1[[#This Row],[Type]]="CN",Table1[[#This Row],[C/D (LC)]],"")),"")</f>
        <v>6751.4</v>
      </c>
      <c r="P108" t="str">
        <f>VLOOKUP(Table1[[#This Row],[Cust '#]],ClientInfo!$A:$B,2,0)</f>
        <v>Client_02</v>
      </c>
      <c r="Q108" t="str">
        <f>IFERROR(IF(#REF!&lt;&gt;0,$S$1-P108,0),"")</f>
        <v/>
      </c>
      <c r="R108" t="str">
        <f>IFERROR(IF(#REF!="IN",#REF!,IF(#REF!="CN",#REF!,"")),"")</f>
        <v/>
      </c>
    </row>
    <row r="109" spans="1:18">
      <c r="A109" t="s">
        <v>108</v>
      </c>
      <c r="B109" t="s">
        <v>13</v>
      </c>
      <c r="C109">
        <v>150000514</v>
      </c>
      <c r="D109" s="1">
        <v>45523</v>
      </c>
      <c r="E109">
        <v>-57</v>
      </c>
      <c r="F109">
        <v>0</v>
      </c>
      <c r="G109">
        <v>700001894</v>
      </c>
      <c r="H109" s="1">
        <v>45590</v>
      </c>
      <c r="I109">
        <f>YEAR(Table1[[#This Row],[Posting Date]])</f>
        <v>2024</v>
      </c>
      <c r="J109">
        <f>MONTH(Table1[[#This Row],[Posting Date]])</f>
        <v>8</v>
      </c>
      <c r="K109" t="str">
        <f>IF(Table1[[#This Row],[Type]]="IN",VLOOKUP(Table1[[#This Row],[Cust '#]],ClientInfo!$A:$D,4,0),"")</f>
        <v/>
      </c>
      <c r="L109" s="1" t="str">
        <f>IF(K109="NET30",Table1[[#This Row],[Posting Date]]+30,IF(K109="NET15",Table1[[#This Row],[Posting Date]]+15,IF(K109="COD",Table1[[#This Row],[Posting Date]],"")))</f>
        <v/>
      </c>
      <c r="M109" s="4" t="str">
        <f>IFERROR(IF(Table1[[#This Row],[Type]]="IN",Table1[[#This Row],[RC Date]]-Table1[[#This Row],[Posting Date]],""),"")</f>
        <v/>
      </c>
      <c r="N109">
        <f>IFERROR(IF(Table1[[#This Row],[Balance Due (LC)]]&lt;&gt;0,$S$1-L109,0),"")</f>
        <v>0</v>
      </c>
      <c r="O109">
        <f>IFERROR(IF(Table1[[#This Row],[Type]]="IN",Table1[[#This Row],[C/D (LC)]],IF(Table1[[#This Row],[Type]]="CN",Table1[[#This Row],[C/D (LC)]],"")),"")</f>
        <v>-57</v>
      </c>
      <c r="P109" t="str">
        <f>VLOOKUP(Table1[[#This Row],[Cust '#]],ClientInfo!$A:$B,2,0)</f>
        <v>Client_02</v>
      </c>
      <c r="Q109" t="str">
        <f>IFERROR(IF(#REF!&lt;&gt;0,$S$1-P109,0),"")</f>
        <v/>
      </c>
      <c r="R109" t="str">
        <f>IFERROR(IF(#REF!="IN",#REF!,IF(#REF!="CN",#REF!,"")),"")</f>
        <v/>
      </c>
    </row>
    <row r="110" spans="1:18">
      <c r="A110" t="s">
        <v>108</v>
      </c>
      <c r="B110" t="s">
        <v>10</v>
      </c>
      <c r="C110">
        <v>700001372</v>
      </c>
      <c r="D110" s="1">
        <v>45523</v>
      </c>
      <c r="E110">
        <v>-13942.4</v>
      </c>
      <c r="F110">
        <v>0</v>
      </c>
      <c r="G110">
        <v>700001372</v>
      </c>
      <c r="H110" s="1">
        <v>45523</v>
      </c>
      <c r="I110">
        <f>YEAR(Table1[[#This Row],[Posting Date]])</f>
        <v>2024</v>
      </c>
      <c r="J110">
        <f>MONTH(Table1[[#This Row],[Posting Date]])</f>
        <v>8</v>
      </c>
      <c r="K110" t="str">
        <f>IF(Table1[[#This Row],[Type]]="IN",VLOOKUP(Table1[[#This Row],[Cust '#]],ClientInfo!$A:$D,4,0),"")</f>
        <v/>
      </c>
      <c r="L110" s="1" t="str">
        <f>IF(K110="NET30",Table1[[#This Row],[Posting Date]]+30,IF(K110="NET15",Table1[[#This Row],[Posting Date]]+15,IF(K110="COD",Table1[[#This Row],[Posting Date]],"")))</f>
        <v/>
      </c>
      <c r="M110" s="4" t="str">
        <f>IFERROR(IF(Table1[[#This Row],[Type]]="IN",Table1[[#This Row],[RC Date]]-Table1[[#This Row],[Posting Date]],""),"")</f>
        <v/>
      </c>
      <c r="N110">
        <f>IFERROR(IF(Table1[[#This Row],[Balance Due (LC)]]&lt;&gt;0,$S$1-L110,0),"")</f>
        <v>0</v>
      </c>
      <c r="O110" t="str">
        <f>IFERROR(IF(Table1[[#This Row],[Type]]="IN",Table1[[#This Row],[C/D (LC)]],IF(Table1[[#This Row],[Type]]="CN",Table1[[#This Row],[C/D (LC)]],"")),"")</f>
        <v/>
      </c>
      <c r="P110" t="str">
        <f>VLOOKUP(Table1[[#This Row],[Cust '#]],ClientInfo!$A:$B,2,0)</f>
        <v>Client_02</v>
      </c>
      <c r="Q110" t="str">
        <f>IFERROR(IF(#REF!&lt;&gt;0,$S$1-P110,0),"")</f>
        <v/>
      </c>
      <c r="R110" t="str">
        <f>IFERROR(IF(#REF!="IN",#REF!,IF(#REF!="CN",#REF!,"")),"")</f>
        <v/>
      </c>
    </row>
    <row r="111" spans="1:18">
      <c r="A111" t="s">
        <v>108</v>
      </c>
      <c r="B111" t="s">
        <v>13</v>
      </c>
      <c r="C111">
        <v>150000527</v>
      </c>
      <c r="D111" s="1">
        <v>45528</v>
      </c>
      <c r="E111">
        <v>-39</v>
      </c>
      <c r="F111">
        <v>0</v>
      </c>
      <c r="G111">
        <v>700001894</v>
      </c>
      <c r="H111" s="1">
        <v>45590</v>
      </c>
      <c r="I111">
        <f>YEAR(Table1[[#This Row],[Posting Date]])</f>
        <v>2024</v>
      </c>
      <c r="J111">
        <f>MONTH(Table1[[#This Row],[Posting Date]])</f>
        <v>8</v>
      </c>
      <c r="K111" t="str">
        <f>IF(Table1[[#This Row],[Type]]="IN",VLOOKUP(Table1[[#This Row],[Cust '#]],ClientInfo!$A:$D,4,0),"")</f>
        <v/>
      </c>
      <c r="L111" s="1" t="str">
        <f>IF(K111="NET30",Table1[[#This Row],[Posting Date]]+30,IF(K111="NET15",Table1[[#This Row],[Posting Date]]+15,IF(K111="COD",Table1[[#This Row],[Posting Date]],"")))</f>
        <v/>
      </c>
      <c r="M111" s="4" t="str">
        <f>IFERROR(IF(Table1[[#This Row],[Type]]="IN",Table1[[#This Row],[RC Date]]-Table1[[#This Row],[Posting Date]],""),"")</f>
        <v/>
      </c>
      <c r="N111">
        <f>IFERROR(IF(Table1[[#This Row],[Balance Due (LC)]]&lt;&gt;0,$S$1-L111,0),"")</f>
        <v>0</v>
      </c>
      <c r="O111">
        <f>IFERROR(IF(Table1[[#This Row],[Type]]="IN",Table1[[#This Row],[C/D (LC)]],IF(Table1[[#This Row],[Type]]="CN",Table1[[#This Row],[C/D (LC)]],"")),"")</f>
        <v>-39</v>
      </c>
      <c r="P111" t="str">
        <f>VLOOKUP(Table1[[#This Row],[Cust '#]],ClientInfo!$A:$B,2,0)</f>
        <v>Client_02</v>
      </c>
      <c r="Q111" t="str">
        <f>IFERROR(IF(#REF!&lt;&gt;0,$S$1-P111,0),"")</f>
        <v/>
      </c>
      <c r="R111" t="str">
        <f>IFERROR(IF(#REF!="IN",#REF!,IF(#REF!="CN",#REF!,"")),"")</f>
        <v/>
      </c>
    </row>
    <row r="112" spans="1:18">
      <c r="A112" t="s">
        <v>108</v>
      </c>
      <c r="B112" t="s">
        <v>12</v>
      </c>
      <c r="C112">
        <v>140012686</v>
      </c>
      <c r="D112" s="1">
        <v>45533</v>
      </c>
      <c r="E112">
        <v>6169</v>
      </c>
      <c r="F112">
        <v>0</v>
      </c>
      <c r="G112">
        <v>700001894</v>
      </c>
      <c r="H112" s="1">
        <v>45590</v>
      </c>
      <c r="I112">
        <f>YEAR(Table1[[#This Row],[Posting Date]])</f>
        <v>2024</v>
      </c>
      <c r="J112">
        <f>MONTH(Table1[[#This Row],[Posting Date]])</f>
        <v>8</v>
      </c>
      <c r="K112" t="str">
        <f>IF(Table1[[#This Row],[Type]]="IN",VLOOKUP(Table1[[#This Row],[Cust '#]],ClientInfo!$A:$D,4,0),"")</f>
        <v>NET30</v>
      </c>
      <c r="L112" s="1">
        <f>IF(K112="NET30",Table1[[#This Row],[Posting Date]]+30,IF(K112="NET15",Table1[[#This Row],[Posting Date]]+15,IF(K112="COD",Table1[[#This Row],[Posting Date]],"")))</f>
        <v>45563</v>
      </c>
      <c r="M112" s="4">
        <f>IFERROR(IF(Table1[[#This Row],[Type]]="IN",Table1[[#This Row],[RC Date]]-Table1[[#This Row],[Posting Date]],""),"")</f>
        <v>57</v>
      </c>
      <c r="N112">
        <f>IFERROR(IF(Table1[[#This Row],[Balance Due (LC)]]&lt;&gt;0,$S$1-L112,0),"")</f>
        <v>0</v>
      </c>
      <c r="O112">
        <f>IFERROR(IF(Table1[[#This Row],[Type]]="IN",Table1[[#This Row],[C/D (LC)]],IF(Table1[[#This Row],[Type]]="CN",Table1[[#This Row],[C/D (LC)]],"")),"")</f>
        <v>6169</v>
      </c>
      <c r="P112" t="str">
        <f>VLOOKUP(Table1[[#This Row],[Cust '#]],ClientInfo!$A:$B,2,0)</f>
        <v>Client_02</v>
      </c>
      <c r="Q112" t="str">
        <f>IFERROR(IF(#REF!&lt;&gt;0,$S$1-P112,0),"")</f>
        <v/>
      </c>
      <c r="R112" t="str">
        <f>IFERROR(IF(#REF!="IN",#REF!,IF(#REF!="CN",#REF!,"")),"")</f>
        <v/>
      </c>
    </row>
    <row r="113" spans="1:18">
      <c r="A113" t="s">
        <v>108</v>
      </c>
      <c r="B113" t="s">
        <v>12</v>
      </c>
      <c r="C113">
        <v>140013341</v>
      </c>
      <c r="D113" s="1">
        <v>45547</v>
      </c>
      <c r="E113">
        <v>9571.5</v>
      </c>
      <c r="F113">
        <v>0</v>
      </c>
      <c r="G113">
        <v>700002059</v>
      </c>
      <c r="H113" s="1">
        <v>45616</v>
      </c>
      <c r="I113">
        <f>YEAR(Table1[[#This Row],[Posting Date]])</f>
        <v>2024</v>
      </c>
      <c r="J113">
        <f>MONTH(Table1[[#This Row],[Posting Date]])</f>
        <v>9</v>
      </c>
      <c r="K113" t="str">
        <f>IF(Table1[[#This Row],[Type]]="IN",VLOOKUP(Table1[[#This Row],[Cust '#]],ClientInfo!$A:$D,4,0),"")</f>
        <v>NET30</v>
      </c>
      <c r="L113" s="1">
        <f>IF(K113="NET30",Table1[[#This Row],[Posting Date]]+30,IF(K113="NET15",Table1[[#This Row],[Posting Date]]+15,IF(K113="COD",Table1[[#This Row],[Posting Date]],"")))</f>
        <v>45577</v>
      </c>
      <c r="M113" s="4">
        <f>IFERROR(IF(Table1[[#This Row],[Type]]="IN",Table1[[#This Row],[RC Date]]-Table1[[#This Row],[Posting Date]],""),"")</f>
        <v>69</v>
      </c>
      <c r="N113">
        <f>IFERROR(IF(Table1[[#This Row],[Balance Due (LC)]]&lt;&gt;0,$S$1-L113,0),"")</f>
        <v>0</v>
      </c>
      <c r="O113">
        <f>IFERROR(IF(Table1[[#This Row],[Type]]="IN",Table1[[#This Row],[C/D (LC)]],IF(Table1[[#This Row],[Type]]="CN",Table1[[#This Row],[C/D (LC)]],"")),"")</f>
        <v>9571.5</v>
      </c>
      <c r="P113" t="str">
        <f>VLOOKUP(Table1[[#This Row],[Cust '#]],ClientInfo!$A:$B,2,0)</f>
        <v>Client_02</v>
      </c>
      <c r="Q113" t="str">
        <f>IFERROR(IF(#REF!&lt;&gt;0,$S$1-P113,0),"")</f>
        <v/>
      </c>
      <c r="R113" t="str">
        <f>IFERROR(IF(#REF!="IN",#REF!,IF(#REF!="CN",#REF!,"")),"")</f>
        <v/>
      </c>
    </row>
    <row r="114" spans="1:18">
      <c r="A114" t="s">
        <v>108</v>
      </c>
      <c r="B114" t="s">
        <v>10</v>
      </c>
      <c r="C114">
        <v>700001671</v>
      </c>
      <c r="D114" s="1">
        <v>45561</v>
      </c>
      <c r="E114">
        <v>-12442.3</v>
      </c>
      <c r="F114">
        <v>0</v>
      </c>
      <c r="G114">
        <v>700001671</v>
      </c>
      <c r="H114" s="1">
        <v>45561</v>
      </c>
      <c r="I114">
        <f>YEAR(Table1[[#This Row],[Posting Date]])</f>
        <v>2024</v>
      </c>
      <c r="J114">
        <f>MONTH(Table1[[#This Row],[Posting Date]])</f>
        <v>9</v>
      </c>
      <c r="K114" t="str">
        <f>IF(Table1[[#This Row],[Type]]="IN",VLOOKUP(Table1[[#This Row],[Cust '#]],ClientInfo!$A:$D,4,0),"")</f>
        <v/>
      </c>
      <c r="L114" s="1" t="str">
        <f>IF(K114="NET30",Table1[[#This Row],[Posting Date]]+30,IF(K114="NET15",Table1[[#This Row],[Posting Date]]+15,IF(K114="COD",Table1[[#This Row],[Posting Date]],"")))</f>
        <v/>
      </c>
      <c r="M114" s="4" t="str">
        <f>IFERROR(IF(Table1[[#This Row],[Type]]="IN",Table1[[#This Row],[RC Date]]-Table1[[#This Row],[Posting Date]],""),"")</f>
        <v/>
      </c>
      <c r="N114">
        <f>IFERROR(IF(Table1[[#This Row],[Balance Due (LC)]]&lt;&gt;0,$S$1-L114,0),"")</f>
        <v>0</v>
      </c>
      <c r="O114" t="str">
        <f>IFERROR(IF(Table1[[#This Row],[Type]]="IN",Table1[[#This Row],[C/D (LC)]],IF(Table1[[#This Row],[Type]]="CN",Table1[[#This Row],[C/D (LC)]],"")),"")</f>
        <v/>
      </c>
      <c r="P114" t="str">
        <f>VLOOKUP(Table1[[#This Row],[Cust '#]],ClientInfo!$A:$B,2,0)</f>
        <v>Client_02</v>
      </c>
      <c r="Q114" t="str">
        <f>IFERROR(IF(#REF!&lt;&gt;0,$S$1-P114,0),"")</f>
        <v/>
      </c>
      <c r="R114" t="str">
        <f>IFERROR(IF(#REF!="IN",#REF!,IF(#REF!="CN",#REF!,"")),"")</f>
        <v/>
      </c>
    </row>
    <row r="115" spans="1:18">
      <c r="A115" t="s">
        <v>108</v>
      </c>
      <c r="B115" t="s">
        <v>12</v>
      </c>
      <c r="C115">
        <v>140014012</v>
      </c>
      <c r="D115" s="1">
        <v>45561</v>
      </c>
      <c r="E115">
        <v>5979.9</v>
      </c>
      <c r="F115">
        <v>0</v>
      </c>
      <c r="G115">
        <v>700002059</v>
      </c>
      <c r="H115" s="1">
        <v>45616</v>
      </c>
      <c r="I115">
        <f>YEAR(Table1[[#This Row],[Posting Date]])</f>
        <v>2024</v>
      </c>
      <c r="J115">
        <f>MONTH(Table1[[#This Row],[Posting Date]])</f>
        <v>9</v>
      </c>
      <c r="K115" t="str">
        <f>IF(Table1[[#This Row],[Type]]="IN",VLOOKUP(Table1[[#This Row],[Cust '#]],ClientInfo!$A:$D,4,0),"")</f>
        <v>NET30</v>
      </c>
      <c r="L115" s="1">
        <f>IF(K115="NET30",Table1[[#This Row],[Posting Date]]+30,IF(K115="NET15",Table1[[#This Row],[Posting Date]]+15,IF(K115="COD",Table1[[#This Row],[Posting Date]],"")))</f>
        <v>45591</v>
      </c>
      <c r="M115" s="4">
        <f>IFERROR(IF(Table1[[#This Row],[Type]]="IN",Table1[[#This Row],[RC Date]]-Table1[[#This Row],[Posting Date]],""),"")</f>
        <v>55</v>
      </c>
      <c r="N115">
        <f>IFERROR(IF(Table1[[#This Row],[Balance Due (LC)]]&lt;&gt;0,$S$1-L115,0),"")</f>
        <v>0</v>
      </c>
      <c r="O115">
        <f>IFERROR(IF(Table1[[#This Row],[Type]]="IN",Table1[[#This Row],[C/D (LC)]],IF(Table1[[#This Row],[Type]]="CN",Table1[[#This Row],[C/D (LC)]],"")),"")</f>
        <v>5979.9</v>
      </c>
      <c r="P115" t="str">
        <f>VLOOKUP(Table1[[#This Row],[Cust '#]],ClientInfo!$A:$B,2,0)</f>
        <v>Client_02</v>
      </c>
      <c r="Q115" t="str">
        <f>IFERROR(IF(#REF!&lt;&gt;0,$S$1-P115,0),"")</f>
        <v/>
      </c>
      <c r="R115" t="str">
        <f>IFERROR(IF(#REF!="IN",#REF!,IF(#REF!="CN",#REF!,"")),"")</f>
        <v/>
      </c>
    </row>
    <row r="116" spans="1:18">
      <c r="A116" t="s">
        <v>108</v>
      </c>
      <c r="B116" t="s">
        <v>12</v>
      </c>
      <c r="C116">
        <v>140014679</v>
      </c>
      <c r="D116" s="1">
        <v>45575</v>
      </c>
      <c r="E116">
        <v>5530.7</v>
      </c>
      <c r="F116">
        <v>0</v>
      </c>
      <c r="G116">
        <v>700002297</v>
      </c>
      <c r="H116" s="1">
        <v>45643</v>
      </c>
      <c r="I116">
        <f>YEAR(Table1[[#This Row],[Posting Date]])</f>
        <v>2024</v>
      </c>
      <c r="J116">
        <f>MONTH(Table1[[#This Row],[Posting Date]])</f>
        <v>10</v>
      </c>
      <c r="K116" t="str">
        <f>IF(Table1[[#This Row],[Type]]="IN",VLOOKUP(Table1[[#This Row],[Cust '#]],ClientInfo!$A:$D,4,0),"")</f>
        <v>NET30</v>
      </c>
      <c r="L116" s="1">
        <f>IF(K116="NET30",Table1[[#This Row],[Posting Date]]+30,IF(K116="NET15",Table1[[#This Row],[Posting Date]]+15,IF(K116="COD",Table1[[#This Row],[Posting Date]],"")))</f>
        <v>45605</v>
      </c>
      <c r="M116" s="4">
        <f>IFERROR(IF(Table1[[#This Row],[Type]]="IN",Table1[[#This Row],[RC Date]]-Table1[[#This Row],[Posting Date]],""),"")</f>
        <v>68</v>
      </c>
      <c r="N116">
        <f>IFERROR(IF(Table1[[#This Row],[Balance Due (LC)]]&lt;&gt;0,$S$1-L116,0),"")</f>
        <v>0</v>
      </c>
      <c r="O116">
        <f>IFERROR(IF(Table1[[#This Row],[Type]]="IN",Table1[[#This Row],[C/D (LC)]],IF(Table1[[#This Row],[Type]]="CN",Table1[[#This Row],[C/D (LC)]],"")),"")</f>
        <v>5530.7</v>
      </c>
      <c r="P116" t="str">
        <f>VLOOKUP(Table1[[#This Row],[Cust '#]],ClientInfo!$A:$B,2,0)</f>
        <v>Client_02</v>
      </c>
      <c r="Q116" t="str">
        <f>IFERROR(IF(#REF!&lt;&gt;0,$S$1-P116,0),"")</f>
        <v/>
      </c>
      <c r="R116" t="str">
        <f>IFERROR(IF(#REF!="IN",#REF!,IF(#REF!="CN",#REF!,"")),"")</f>
        <v/>
      </c>
    </row>
    <row r="117" spans="1:18">
      <c r="A117" t="s">
        <v>108</v>
      </c>
      <c r="B117" t="s">
        <v>12</v>
      </c>
      <c r="C117">
        <v>140015338</v>
      </c>
      <c r="D117" s="1">
        <v>45589</v>
      </c>
      <c r="E117">
        <v>6125.9</v>
      </c>
      <c r="F117">
        <v>0</v>
      </c>
      <c r="G117">
        <v>700002297</v>
      </c>
      <c r="H117" s="1">
        <v>45643</v>
      </c>
      <c r="I117">
        <f>YEAR(Table1[[#This Row],[Posting Date]])</f>
        <v>2024</v>
      </c>
      <c r="J117">
        <f>MONTH(Table1[[#This Row],[Posting Date]])</f>
        <v>10</v>
      </c>
      <c r="K117" t="str">
        <f>IF(Table1[[#This Row],[Type]]="IN",VLOOKUP(Table1[[#This Row],[Cust '#]],ClientInfo!$A:$D,4,0),"")</f>
        <v>NET30</v>
      </c>
      <c r="L117" s="1">
        <f>IF(K117="NET30",Table1[[#This Row],[Posting Date]]+30,IF(K117="NET15",Table1[[#This Row],[Posting Date]]+15,IF(K117="COD",Table1[[#This Row],[Posting Date]],"")))</f>
        <v>45619</v>
      </c>
      <c r="M117" s="4">
        <f>IFERROR(IF(Table1[[#This Row],[Type]]="IN",Table1[[#This Row],[RC Date]]-Table1[[#This Row],[Posting Date]],""),"")</f>
        <v>54</v>
      </c>
      <c r="N117">
        <f>IFERROR(IF(Table1[[#This Row],[Balance Due (LC)]]&lt;&gt;0,$S$1-L117,0),"")</f>
        <v>0</v>
      </c>
      <c r="O117">
        <f>IFERROR(IF(Table1[[#This Row],[Type]]="IN",Table1[[#This Row],[C/D (LC)]],IF(Table1[[#This Row],[Type]]="CN",Table1[[#This Row],[C/D (LC)]],"")),"")</f>
        <v>6125.9</v>
      </c>
      <c r="P117" t="str">
        <f>VLOOKUP(Table1[[#This Row],[Cust '#]],ClientInfo!$A:$B,2,0)</f>
        <v>Client_02</v>
      </c>
      <c r="Q117" t="str">
        <f>IFERROR(IF(#REF!&lt;&gt;0,$S$1-P117,0),"")</f>
        <v/>
      </c>
      <c r="R117" t="str">
        <f>IFERROR(IF(#REF!="IN",#REF!,IF(#REF!="CN",#REF!,"")),"")</f>
        <v/>
      </c>
    </row>
    <row r="118" spans="1:18">
      <c r="A118" t="s">
        <v>108</v>
      </c>
      <c r="B118" t="s">
        <v>10</v>
      </c>
      <c r="C118">
        <v>700001894</v>
      </c>
      <c r="D118" s="1">
        <v>45590</v>
      </c>
      <c r="E118">
        <v>-17263</v>
      </c>
      <c r="F118">
        <v>0</v>
      </c>
      <c r="G118">
        <v>700001894</v>
      </c>
      <c r="H118" s="1">
        <v>45590</v>
      </c>
      <c r="I118">
        <f>YEAR(Table1[[#This Row],[Posting Date]])</f>
        <v>2024</v>
      </c>
      <c r="J118">
        <f>MONTH(Table1[[#This Row],[Posting Date]])</f>
        <v>10</v>
      </c>
      <c r="K118" t="str">
        <f>IF(Table1[[#This Row],[Type]]="IN",VLOOKUP(Table1[[#This Row],[Cust '#]],ClientInfo!$A:$D,4,0),"")</f>
        <v/>
      </c>
      <c r="L118" s="1" t="str">
        <f>IF(K118="NET30",Table1[[#This Row],[Posting Date]]+30,IF(K118="NET15",Table1[[#This Row],[Posting Date]]+15,IF(K118="COD",Table1[[#This Row],[Posting Date]],"")))</f>
        <v/>
      </c>
      <c r="M118" s="4" t="str">
        <f>IFERROR(IF(Table1[[#This Row],[Type]]="IN",Table1[[#This Row],[RC Date]]-Table1[[#This Row],[Posting Date]],""),"")</f>
        <v/>
      </c>
      <c r="N118">
        <f>IFERROR(IF(Table1[[#This Row],[Balance Due (LC)]]&lt;&gt;0,$S$1-L118,0),"")</f>
        <v>0</v>
      </c>
      <c r="O118" t="str">
        <f>IFERROR(IF(Table1[[#This Row],[Type]]="IN",Table1[[#This Row],[C/D (LC)]],IF(Table1[[#This Row],[Type]]="CN",Table1[[#This Row],[C/D (LC)]],"")),"")</f>
        <v/>
      </c>
      <c r="P118" t="str">
        <f>VLOOKUP(Table1[[#This Row],[Cust '#]],ClientInfo!$A:$B,2,0)</f>
        <v>Client_02</v>
      </c>
      <c r="Q118" t="str">
        <f>IFERROR(IF(#REF!&lt;&gt;0,$S$1-P118,0),"")</f>
        <v/>
      </c>
      <c r="R118" t="str">
        <f>IFERROR(IF(#REF!="IN",#REF!,IF(#REF!="CN",#REF!,"")),"")</f>
        <v/>
      </c>
    </row>
    <row r="119" spans="1:18">
      <c r="A119" t="s">
        <v>108</v>
      </c>
      <c r="B119" t="s">
        <v>12</v>
      </c>
      <c r="C119">
        <v>140016029</v>
      </c>
      <c r="D119" s="1">
        <v>45603</v>
      </c>
      <c r="E119">
        <v>6108.6</v>
      </c>
      <c r="F119">
        <v>0</v>
      </c>
      <c r="G119">
        <v>700002454</v>
      </c>
      <c r="H119" s="1">
        <v>45664</v>
      </c>
      <c r="I119">
        <f>YEAR(Table1[[#This Row],[Posting Date]])</f>
        <v>2024</v>
      </c>
      <c r="J119">
        <f>MONTH(Table1[[#This Row],[Posting Date]])</f>
        <v>11</v>
      </c>
      <c r="K119" t="str">
        <f>IF(Table1[[#This Row],[Type]]="IN",VLOOKUP(Table1[[#This Row],[Cust '#]],ClientInfo!$A:$D,4,0),"")</f>
        <v>NET30</v>
      </c>
      <c r="L119" s="1">
        <f>IF(K119="NET30",Table1[[#This Row],[Posting Date]]+30,IF(K119="NET15",Table1[[#This Row],[Posting Date]]+15,IF(K119="COD",Table1[[#This Row],[Posting Date]],"")))</f>
        <v>45633</v>
      </c>
      <c r="M119" s="4">
        <f>IFERROR(IF(Table1[[#This Row],[Type]]="IN",Table1[[#This Row],[RC Date]]-Table1[[#This Row],[Posting Date]],""),"")</f>
        <v>61</v>
      </c>
      <c r="N119">
        <f>IFERROR(IF(Table1[[#This Row],[Balance Due (LC)]]&lt;&gt;0,$S$1-L119,0),"")</f>
        <v>0</v>
      </c>
      <c r="O119">
        <f>IFERROR(IF(Table1[[#This Row],[Type]]="IN",Table1[[#This Row],[C/D (LC)]],IF(Table1[[#This Row],[Type]]="CN",Table1[[#This Row],[C/D (LC)]],"")),"")</f>
        <v>6108.6</v>
      </c>
      <c r="P119" t="str">
        <f>VLOOKUP(Table1[[#This Row],[Cust '#]],ClientInfo!$A:$B,2,0)</f>
        <v>Client_02</v>
      </c>
      <c r="Q119" t="str">
        <f>IFERROR(IF(#REF!&lt;&gt;0,$S$1-P119,0),"")</f>
        <v/>
      </c>
      <c r="R119" t="str">
        <f>IFERROR(IF(#REF!="IN",#REF!,IF(#REF!="CN",#REF!,"")),"")</f>
        <v/>
      </c>
    </row>
    <row r="120" spans="1:18">
      <c r="A120" t="s">
        <v>108</v>
      </c>
      <c r="B120" t="s">
        <v>12</v>
      </c>
      <c r="C120">
        <v>140016030</v>
      </c>
      <c r="D120" s="1">
        <v>45603</v>
      </c>
      <c r="E120">
        <v>418.9</v>
      </c>
      <c r="F120">
        <v>0</v>
      </c>
      <c r="G120">
        <v>700002454</v>
      </c>
      <c r="H120" s="1">
        <v>45664</v>
      </c>
      <c r="I120">
        <f>YEAR(Table1[[#This Row],[Posting Date]])</f>
        <v>2024</v>
      </c>
      <c r="J120">
        <f>MONTH(Table1[[#This Row],[Posting Date]])</f>
        <v>11</v>
      </c>
      <c r="K120" t="str">
        <f>IF(Table1[[#This Row],[Type]]="IN",VLOOKUP(Table1[[#This Row],[Cust '#]],ClientInfo!$A:$D,4,0),"")</f>
        <v>NET30</v>
      </c>
      <c r="L120" s="1">
        <f>IF(K120="NET30",Table1[[#This Row],[Posting Date]]+30,IF(K120="NET15",Table1[[#This Row],[Posting Date]]+15,IF(K120="COD",Table1[[#This Row],[Posting Date]],"")))</f>
        <v>45633</v>
      </c>
      <c r="M120" s="4">
        <f>IFERROR(IF(Table1[[#This Row],[Type]]="IN",Table1[[#This Row],[RC Date]]-Table1[[#This Row],[Posting Date]],""),"")</f>
        <v>61</v>
      </c>
      <c r="N120">
        <f>IFERROR(IF(Table1[[#This Row],[Balance Due (LC)]]&lt;&gt;0,$S$1-L120,0),"")</f>
        <v>0</v>
      </c>
      <c r="O120">
        <f>IFERROR(IF(Table1[[#This Row],[Type]]="IN",Table1[[#This Row],[C/D (LC)]],IF(Table1[[#This Row],[Type]]="CN",Table1[[#This Row],[C/D (LC)]],"")),"")</f>
        <v>418.9</v>
      </c>
      <c r="P120" t="str">
        <f>VLOOKUP(Table1[[#This Row],[Cust '#]],ClientInfo!$A:$B,2,0)</f>
        <v>Client_02</v>
      </c>
      <c r="Q120" t="str">
        <f>IFERROR(IF(#REF!&lt;&gt;0,$S$1-P120,0),"")</f>
        <v/>
      </c>
      <c r="R120" t="str">
        <f>IFERROR(IF(#REF!="IN",#REF!,IF(#REF!="CN",#REF!,"")),"")</f>
        <v/>
      </c>
    </row>
    <row r="121" spans="1:18">
      <c r="A121" t="s">
        <v>108</v>
      </c>
      <c r="B121" t="s">
        <v>10</v>
      </c>
      <c r="C121">
        <v>700002059</v>
      </c>
      <c r="D121" s="1">
        <v>45616</v>
      </c>
      <c r="E121">
        <v>-15551.4</v>
      </c>
      <c r="F121">
        <v>0</v>
      </c>
      <c r="G121">
        <v>700002059</v>
      </c>
      <c r="H121" s="1">
        <v>45616</v>
      </c>
      <c r="I121">
        <f>YEAR(Table1[[#This Row],[Posting Date]])</f>
        <v>2024</v>
      </c>
      <c r="J121">
        <f>MONTH(Table1[[#This Row],[Posting Date]])</f>
        <v>11</v>
      </c>
      <c r="K121" t="str">
        <f>IF(Table1[[#This Row],[Type]]="IN",VLOOKUP(Table1[[#This Row],[Cust '#]],ClientInfo!$A:$D,4,0),"")</f>
        <v/>
      </c>
      <c r="L121" s="1" t="str">
        <f>IF(K121="NET30",Table1[[#This Row],[Posting Date]]+30,IF(K121="NET15",Table1[[#This Row],[Posting Date]]+15,IF(K121="COD",Table1[[#This Row],[Posting Date]],"")))</f>
        <v/>
      </c>
      <c r="M121" s="4" t="str">
        <f>IFERROR(IF(Table1[[#This Row],[Type]]="IN",Table1[[#This Row],[RC Date]]-Table1[[#This Row],[Posting Date]],""),"")</f>
        <v/>
      </c>
      <c r="N121">
        <f>IFERROR(IF(Table1[[#This Row],[Balance Due (LC)]]&lt;&gt;0,$S$1-L121,0),"")</f>
        <v>0</v>
      </c>
      <c r="O121" t="str">
        <f>IFERROR(IF(Table1[[#This Row],[Type]]="IN",Table1[[#This Row],[C/D (LC)]],IF(Table1[[#This Row],[Type]]="CN",Table1[[#This Row],[C/D (LC)]],"")),"")</f>
        <v/>
      </c>
      <c r="P121" t="str">
        <f>VLOOKUP(Table1[[#This Row],[Cust '#]],ClientInfo!$A:$B,2,0)</f>
        <v>Client_02</v>
      </c>
      <c r="Q121" t="str">
        <f>IFERROR(IF(#REF!&lt;&gt;0,$S$1-P121,0),"")</f>
        <v/>
      </c>
      <c r="R121" t="str">
        <f>IFERROR(IF(#REF!="IN",#REF!,IF(#REF!="CN",#REF!,"")),"")</f>
        <v/>
      </c>
    </row>
    <row r="122" spans="1:18">
      <c r="A122" t="s">
        <v>108</v>
      </c>
      <c r="B122" t="s">
        <v>12</v>
      </c>
      <c r="C122">
        <v>140016718</v>
      </c>
      <c r="D122" s="1">
        <v>45617</v>
      </c>
      <c r="E122">
        <v>7095.2</v>
      </c>
      <c r="F122">
        <v>0</v>
      </c>
      <c r="G122">
        <v>700002454</v>
      </c>
      <c r="H122" s="1">
        <v>45664</v>
      </c>
      <c r="I122">
        <f>YEAR(Table1[[#This Row],[Posting Date]])</f>
        <v>2024</v>
      </c>
      <c r="J122">
        <f>MONTH(Table1[[#This Row],[Posting Date]])</f>
        <v>11</v>
      </c>
      <c r="K122" t="str">
        <f>IF(Table1[[#This Row],[Type]]="IN",VLOOKUP(Table1[[#This Row],[Cust '#]],ClientInfo!$A:$D,4,0),"")</f>
        <v>NET30</v>
      </c>
      <c r="L122" s="1">
        <f>IF(K122="NET30",Table1[[#This Row],[Posting Date]]+30,IF(K122="NET15",Table1[[#This Row],[Posting Date]]+15,IF(K122="COD",Table1[[#This Row],[Posting Date]],"")))</f>
        <v>45647</v>
      </c>
      <c r="M122" s="4">
        <f>IFERROR(IF(Table1[[#This Row],[Type]]="IN",Table1[[#This Row],[RC Date]]-Table1[[#This Row],[Posting Date]],""),"")</f>
        <v>47</v>
      </c>
      <c r="N122">
        <f>IFERROR(IF(Table1[[#This Row],[Balance Due (LC)]]&lt;&gt;0,$S$1-L122,0),"")</f>
        <v>0</v>
      </c>
      <c r="O122">
        <f>IFERROR(IF(Table1[[#This Row],[Type]]="IN",Table1[[#This Row],[C/D (LC)]],IF(Table1[[#This Row],[Type]]="CN",Table1[[#This Row],[C/D (LC)]],"")),"")</f>
        <v>7095.2</v>
      </c>
      <c r="P122" t="str">
        <f>VLOOKUP(Table1[[#This Row],[Cust '#]],ClientInfo!$A:$B,2,0)</f>
        <v>Client_02</v>
      </c>
      <c r="Q122" t="str">
        <f>IFERROR(IF(#REF!&lt;&gt;0,$S$1-P122,0),"")</f>
        <v/>
      </c>
      <c r="R122" t="str">
        <f>IFERROR(IF(#REF!="IN",#REF!,IF(#REF!="CN",#REF!,"")),"")</f>
        <v/>
      </c>
    </row>
    <row r="123" spans="1:18">
      <c r="A123" t="s">
        <v>108</v>
      </c>
      <c r="B123" t="s">
        <v>13</v>
      </c>
      <c r="C123">
        <v>150000734</v>
      </c>
      <c r="D123" s="1">
        <v>45626</v>
      </c>
      <c r="E123">
        <v>-72</v>
      </c>
      <c r="F123">
        <v>0</v>
      </c>
      <c r="G123">
        <v>700002454</v>
      </c>
      <c r="H123" s="1">
        <v>45664</v>
      </c>
      <c r="I123">
        <f>YEAR(Table1[[#This Row],[Posting Date]])</f>
        <v>2024</v>
      </c>
      <c r="J123">
        <f>MONTH(Table1[[#This Row],[Posting Date]])</f>
        <v>11</v>
      </c>
      <c r="K123" t="str">
        <f>IF(Table1[[#This Row],[Type]]="IN",VLOOKUP(Table1[[#This Row],[Cust '#]],ClientInfo!$A:$D,4,0),"")</f>
        <v/>
      </c>
      <c r="L123" s="1" t="str">
        <f>IF(K123="NET30",Table1[[#This Row],[Posting Date]]+30,IF(K123="NET15",Table1[[#This Row],[Posting Date]]+15,IF(K123="COD",Table1[[#This Row],[Posting Date]],"")))</f>
        <v/>
      </c>
      <c r="M123" s="4" t="str">
        <f>IFERROR(IF(Table1[[#This Row],[Type]]="IN",Table1[[#This Row],[RC Date]]-Table1[[#This Row],[Posting Date]],""),"")</f>
        <v/>
      </c>
      <c r="N123">
        <f>IFERROR(IF(Table1[[#This Row],[Balance Due (LC)]]&lt;&gt;0,$S$1-L123,0),"")</f>
        <v>0</v>
      </c>
      <c r="O123">
        <f>IFERROR(IF(Table1[[#This Row],[Type]]="IN",Table1[[#This Row],[C/D (LC)]],IF(Table1[[#This Row],[Type]]="CN",Table1[[#This Row],[C/D (LC)]],"")),"")</f>
        <v>-72</v>
      </c>
      <c r="P123" t="str">
        <f>VLOOKUP(Table1[[#This Row],[Cust '#]],ClientInfo!$A:$B,2,0)</f>
        <v>Client_02</v>
      </c>
      <c r="Q123" t="str">
        <f>IFERROR(IF(#REF!&lt;&gt;0,$S$1-P123,0),"")</f>
        <v/>
      </c>
      <c r="R123" t="str">
        <f>IFERROR(IF(#REF!="IN",#REF!,IF(#REF!="CN",#REF!,"")),"")</f>
        <v/>
      </c>
    </row>
    <row r="124" spans="1:18">
      <c r="A124" t="s">
        <v>108</v>
      </c>
      <c r="B124" t="s">
        <v>12</v>
      </c>
      <c r="C124">
        <v>140017348</v>
      </c>
      <c r="D124" s="1">
        <v>45631</v>
      </c>
      <c r="E124">
        <v>5730.7</v>
      </c>
      <c r="F124">
        <v>0</v>
      </c>
      <c r="G124">
        <v>700002711</v>
      </c>
      <c r="H124" s="1">
        <v>45699</v>
      </c>
      <c r="I124">
        <f>YEAR(Table1[[#This Row],[Posting Date]])</f>
        <v>2024</v>
      </c>
      <c r="J124">
        <f>MONTH(Table1[[#This Row],[Posting Date]])</f>
        <v>12</v>
      </c>
      <c r="K124" t="str">
        <f>IF(Table1[[#This Row],[Type]]="IN",VLOOKUP(Table1[[#This Row],[Cust '#]],ClientInfo!$A:$D,4,0),"")</f>
        <v>NET30</v>
      </c>
      <c r="L124" s="1">
        <f>IF(K124="NET30",Table1[[#This Row],[Posting Date]]+30,IF(K124="NET15",Table1[[#This Row],[Posting Date]]+15,IF(K124="COD",Table1[[#This Row],[Posting Date]],"")))</f>
        <v>45661</v>
      </c>
      <c r="M124" s="4">
        <f>IFERROR(IF(Table1[[#This Row],[Type]]="IN",Table1[[#This Row],[RC Date]]-Table1[[#This Row],[Posting Date]],""),"")</f>
        <v>68</v>
      </c>
      <c r="N124">
        <f>IFERROR(IF(Table1[[#This Row],[Balance Due (LC)]]&lt;&gt;0,$S$1-L124,0),"")</f>
        <v>0</v>
      </c>
      <c r="O124">
        <f>IFERROR(IF(Table1[[#This Row],[Type]]="IN",Table1[[#This Row],[C/D (LC)]],IF(Table1[[#This Row],[Type]]="CN",Table1[[#This Row],[C/D (LC)]],"")),"")</f>
        <v>5730.7</v>
      </c>
      <c r="P124" t="str">
        <f>VLOOKUP(Table1[[#This Row],[Cust '#]],ClientInfo!$A:$B,2,0)</f>
        <v>Client_02</v>
      </c>
      <c r="Q124" t="str">
        <f>IFERROR(IF(#REF!&lt;&gt;0,$S$1-P124,0),"")</f>
        <v/>
      </c>
      <c r="R124" t="str">
        <f>IFERROR(IF(#REF!="IN",#REF!,IF(#REF!="CN",#REF!,"")),"")</f>
        <v/>
      </c>
    </row>
    <row r="125" spans="1:18">
      <c r="A125" t="s">
        <v>108</v>
      </c>
      <c r="B125" t="s">
        <v>10</v>
      </c>
      <c r="C125">
        <v>700002297</v>
      </c>
      <c r="D125" s="1">
        <v>45643</v>
      </c>
      <c r="E125">
        <v>-11656.6</v>
      </c>
      <c r="F125">
        <v>0</v>
      </c>
      <c r="G125">
        <v>700002297</v>
      </c>
      <c r="H125" s="1">
        <v>45643</v>
      </c>
      <c r="I125">
        <f>YEAR(Table1[[#This Row],[Posting Date]])</f>
        <v>2024</v>
      </c>
      <c r="J125">
        <f>MONTH(Table1[[#This Row],[Posting Date]])</f>
        <v>12</v>
      </c>
      <c r="K125" t="str">
        <f>IF(Table1[[#This Row],[Type]]="IN",VLOOKUP(Table1[[#This Row],[Cust '#]],ClientInfo!$A:$D,4,0),"")</f>
        <v/>
      </c>
      <c r="L125" s="1" t="str">
        <f>IF(K125="NET30",Table1[[#This Row],[Posting Date]]+30,IF(K125="NET15",Table1[[#This Row],[Posting Date]]+15,IF(K125="COD",Table1[[#This Row],[Posting Date]],"")))</f>
        <v/>
      </c>
      <c r="M125" s="4" t="str">
        <f>IFERROR(IF(Table1[[#This Row],[Type]]="IN",Table1[[#This Row],[RC Date]]-Table1[[#This Row],[Posting Date]],""),"")</f>
        <v/>
      </c>
      <c r="N125">
        <f>IFERROR(IF(Table1[[#This Row],[Balance Due (LC)]]&lt;&gt;0,$S$1-L125,0),"")</f>
        <v>0</v>
      </c>
      <c r="O125" t="str">
        <f>IFERROR(IF(Table1[[#This Row],[Type]]="IN",Table1[[#This Row],[C/D (LC)]],IF(Table1[[#This Row],[Type]]="CN",Table1[[#This Row],[C/D (LC)]],"")),"")</f>
        <v/>
      </c>
      <c r="P125" t="str">
        <f>VLOOKUP(Table1[[#This Row],[Cust '#]],ClientInfo!$A:$B,2,0)</f>
        <v>Client_02</v>
      </c>
      <c r="Q125" t="str">
        <f>IFERROR(IF(#REF!&lt;&gt;0,$S$1-P125,0),"")</f>
        <v/>
      </c>
      <c r="R125" t="str">
        <f>IFERROR(IF(#REF!="IN",#REF!,IF(#REF!="CN",#REF!,"")),"")</f>
        <v/>
      </c>
    </row>
    <row r="126" spans="1:18">
      <c r="A126" t="s">
        <v>108</v>
      </c>
      <c r="B126" t="s">
        <v>12</v>
      </c>
      <c r="C126">
        <v>140018052</v>
      </c>
      <c r="D126" s="1">
        <v>45646</v>
      </c>
      <c r="E126">
        <v>4505.3</v>
      </c>
      <c r="F126">
        <v>0</v>
      </c>
      <c r="G126">
        <v>700002711</v>
      </c>
      <c r="H126" s="1">
        <v>45699</v>
      </c>
      <c r="I126">
        <f>YEAR(Table1[[#This Row],[Posting Date]])</f>
        <v>2024</v>
      </c>
      <c r="J126">
        <f>MONTH(Table1[[#This Row],[Posting Date]])</f>
        <v>12</v>
      </c>
      <c r="K126" t="str">
        <f>IF(Table1[[#This Row],[Type]]="IN",VLOOKUP(Table1[[#This Row],[Cust '#]],ClientInfo!$A:$D,4,0),"")</f>
        <v>NET30</v>
      </c>
      <c r="L126" s="1">
        <f>IF(K126="NET30",Table1[[#This Row],[Posting Date]]+30,IF(K126="NET15",Table1[[#This Row],[Posting Date]]+15,IF(K126="COD",Table1[[#This Row],[Posting Date]],"")))</f>
        <v>45676</v>
      </c>
      <c r="M126" s="4">
        <f>IFERROR(IF(Table1[[#This Row],[Type]]="IN",Table1[[#This Row],[RC Date]]-Table1[[#This Row],[Posting Date]],""),"")</f>
        <v>53</v>
      </c>
      <c r="N126">
        <f>IFERROR(IF(Table1[[#This Row],[Balance Due (LC)]]&lt;&gt;0,$S$1-L126,0),"")</f>
        <v>0</v>
      </c>
      <c r="O126">
        <f>IFERROR(IF(Table1[[#This Row],[Type]]="IN",Table1[[#This Row],[C/D (LC)]],IF(Table1[[#This Row],[Type]]="CN",Table1[[#This Row],[C/D (LC)]],"")),"")</f>
        <v>4505.3</v>
      </c>
      <c r="P126" t="str">
        <f>VLOOKUP(Table1[[#This Row],[Cust '#]],ClientInfo!$A:$B,2,0)</f>
        <v>Client_02</v>
      </c>
      <c r="Q126" t="str">
        <f>IFERROR(IF(#REF!&lt;&gt;0,$S$1-P126,0),"")</f>
        <v/>
      </c>
      <c r="R126" t="str">
        <f>IFERROR(IF(#REF!="IN",#REF!,IF(#REF!="CN",#REF!,"")),"")</f>
        <v/>
      </c>
    </row>
    <row r="127" spans="1:18">
      <c r="A127" t="s">
        <v>108</v>
      </c>
      <c r="B127" t="s">
        <v>13</v>
      </c>
      <c r="C127">
        <v>150000805</v>
      </c>
      <c r="D127" s="1">
        <v>45657</v>
      </c>
      <c r="E127">
        <v>-180</v>
      </c>
      <c r="F127">
        <v>0</v>
      </c>
      <c r="G127">
        <v>700002711</v>
      </c>
      <c r="H127" s="1">
        <v>45699</v>
      </c>
      <c r="I127">
        <f>YEAR(Table1[[#This Row],[Posting Date]])</f>
        <v>2024</v>
      </c>
      <c r="J127">
        <f>MONTH(Table1[[#This Row],[Posting Date]])</f>
        <v>12</v>
      </c>
      <c r="K127" t="str">
        <f>IF(Table1[[#This Row],[Type]]="IN",VLOOKUP(Table1[[#This Row],[Cust '#]],ClientInfo!$A:$D,4,0),"")</f>
        <v/>
      </c>
      <c r="L127" s="1" t="str">
        <f>IF(K127="NET30",Table1[[#This Row],[Posting Date]]+30,IF(K127="NET15",Table1[[#This Row],[Posting Date]]+15,IF(K127="COD",Table1[[#This Row],[Posting Date]],"")))</f>
        <v/>
      </c>
      <c r="M127" s="4" t="str">
        <f>IFERROR(IF(Table1[[#This Row],[Type]]="IN",Table1[[#This Row],[RC Date]]-Table1[[#This Row],[Posting Date]],""),"")</f>
        <v/>
      </c>
      <c r="N127">
        <f>IFERROR(IF(Table1[[#This Row],[Balance Due (LC)]]&lt;&gt;0,$S$1-L127,0),"")</f>
        <v>0</v>
      </c>
      <c r="O127">
        <f>IFERROR(IF(Table1[[#This Row],[Type]]="IN",Table1[[#This Row],[C/D (LC)]],IF(Table1[[#This Row],[Type]]="CN",Table1[[#This Row],[C/D (LC)]],"")),"")</f>
        <v>-180</v>
      </c>
      <c r="P127" t="str">
        <f>VLOOKUP(Table1[[#This Row],[Cust '#]],ClientInfo!$A:$B,2,0)</f>
        <v>Client_02</v>
      </c>
      <c r="Q127" t="str">
        <f>IFERROR(IF(#REF!&lt;&gt;0,$S$1-P127,0),"")</f>
        <v/>
      </c>
      <c r="R127" t="str">
        <f>IFERROR(IF(#REF!="IN",#REF!,IF(#REF!="CN",#REF!,"")),"")</f>
        <v/>
      </c>
    </row>
    <row r="128" spans="1:18">
      <c r="A128" t="s">
        <v>108</v>
      </c>
      <c r="B128" t="s">
        <v>12</v>
      </c>
      <c r="C128">
        <v>140018629</v>
      </c>
      <c r="D128" s="1">
        <v>45659</v>
      </c>
      <c r="E128">
        <v>2186.6</v>
      </c>
      <c r="F128">
        <v>0</v>
      </c>
      <c r="G128">
        <v>700002922</v>
      </c>
      <c r="H128" s="1">
        <v>45726</v>
      </c>
      <c r="I128">
        <f>YEAR(Table1[[#This Row],[Posting Date]])</f>
        <v>2025</v>
      </c>
      <c r="J128">
        <f>MONTH(Table1[[#This Row],[Posting Date]])</f>
        <v>1</v>
      </c>
      <c r="K128" t="str">
        <f>IF(Table1[[#This Row],[Type]]="IN",VLOOKUP(Table1[[#This Row],[Cust '#]],ClientInfo!$A:$D,4,0),"")</f>
        <v>NET30</v>
      </c>
      <c r="L128" s="1">
        <f>IF(K128="NET30",Table1[[#This Row],[Posting Date]]+30,IF(K128="NET15",Table1[[#This Row],[Posting Date]]+15,IF(K128="COD",Table1[[#This Row],[Posting Date]],"")))</f>
        <v>45689</v>
      </c>
      <c r="M128" s="4">
        <f>IFERROR(IF(Table1[[#This Row],[Type]]="IN",Table1[[#This Row],[RC Date]]-Table1[[#This Row],[Posting Date]],""),"")</f>
        <v>67</v>
      </c>
      <c r="N128">
        <f>IFERROR(IF(Table1[[#This Row],[Balance Due (LC)]]&lt;&gt;0,$S$1-L128,0),"")</f>
        <v>0</v>
      </c>
      <c r="O128">
        <f>IFERROR(IF(Table1[[#This Row],[Type]]="IN",Table1[[#This Row],[C/D (LC)]],IF(Table1[[#This Row],[Type]]="CN",Table1[[#This Row],[C/D (LC)]],"")),"")</f>
        <v>2186.6</v>
      </c>
      <c r="P128" t="str">
        <f>VLOOKUP(Table1[[#This Row],[Cust '#]],ClientInfo!$A:$B,2,0)</f>
        <v>Client_02</v>
      </c>
      <c r="Q128" t="str">
        <f>IFERROR(IF(#REF!&lt;&gt;0,$S$1-P128,0),"")</f>
        <v/>
      </c>
      <c r="R128" t="str">
        <f>IFERROR(IF(#REF!="IN",#REF!,IF(#REF!="CN",#REF!,"")),"")</f>
        <v/>
      </c>
    </row>
    <row r="129" spans="1:18">
      <c r="A129" t="s">
        <v>108</v>
      </c>
      <c r="B129" t="s">
        <v>10</v>
      </c>
      <c r="C129">
        <v>700002454</v>
      </c>
      <c r="D129" s="1">
        <v>45664</v>
      </c>
      <c r="E129">
        <v>-13550.7</v>
      </c>
      <c r="F129">
        <v>0</v>
      </c>
      <c r="G129">
        <v>700002454</v>
      </c>
      <c r="H129" s="1">
        <v>45664</v>
      </c>
      <c r="I129">
        <f>YEAR(Table1[[#This Row],[Posting Date]])</f>
        <v>2025</v>
      </c>
      <c r="J129">
        <f>MONTH(Table1[[#This Row],[Posting Date]])</f>
        <v>1</v>
      </c>
      <c r="K129" t="str">
        <f>IF(Table1[[#This Row],[Type]]="IN",VLOOKUP(Table1[[#This Row],[Cust '#]],ClientInfo!$A:$D,4,0),"")</f>
        <v/>
      </c>
      <c r="L129" s="1" t="str">
        <f>IF(K129="NET30",Table1[[#This Row],[Posting Date]]+30,IF(K129="NET15",Table1[[#This Row],[Posting Date]]+15,IF(K129="COD",Table1[[#This Row],[Posting Date]],"")))</f>
        <v/>
      </c>
      <c r="M129" s="4" t="str">
        <f>IFERROR(IF(Table1[[#This Row],[Type]]="IN",Table1[[#This Row],[RC Date]]-Table1[[#This Row],[Posting Date]],""),"")</f>
        <v/>
      </c>
      <c r="N129">
        <f>IFERROR(IF(Table1[[#This Row],[Balance Due (LC)]]&lt;&gt;0,$S$1-L129,0),"")</f>
        <v>0</v>
      </c>
      <c r="O129" t="str">
        <f>IFERROR(IF(Table1[[#This Row],[Type]]="IN",Table1[[#This Row],[C/D (LC)]],IF(Table1[[#This Row],[Type]]="CN",Table1[[#This Row],[C/D (LC)]],"")),"")</f>
        <v/>
      </c>
      <c r="P129" t="str">
        <f>VLOOKUP(Table1[[#This Row],[Cust '#]],ClientInfo!$A:$B,2,0)</f>
        <v>Client_02</v>
      </c>
      <c r="Q129" t="str">
        <f>IFERROR(IF(#REF!&lt;&gt;0,$S$1-P129,0),"")</f>
        <v/>
      </c>
      <c r="R129" t="str">
        <f>IFERROR(IF(#REF!="IN",#REF!,IF(#REF!="CN",#REF!,"")),"")</f>
        <v/>
      </c>
    </row>
    <row r="130" spans="1:18">
      <c r="A130" t="s">
        <v>108</v>
      </c>
      <c r="B130" t="s">
        <v>12</v>
      </c>
      <c r="C130">
        <v>140019277</v>
      </c>
      <c r="D130" s="1">
        <v>45673</v>
      </c>
      <c r="E130">
        <v>6004.8</v>
      </c>
      <c r="F130">
        <v>0</v>
      </c>
      <c r="G130">
        <v>700002922</v>
      </c>
      <c r="H130" s="1">
        <v>45726</v>
      </c>
      <c r="I130">
        <f>YEAR(Table1[[#This Row],[Posting Date]])</f>
        <v>2025</v>
      </c>
      <c r="J130">
        <f>MONTH(Table1[[#This Row],[Posting Date]])</f>
        <v>1</v>
      </c>
      <c r="K130" t="str">
        <f>IF(Table1[[#This Row],[Type]]="IN",VLOOKUP(Table1[[#This Row],[Cust '#]],ClientInfo!$A:$D,4,0),"")</f>
        <v>NET30</v>
      </c>
      <c r="L130" s="1">
        <f>IF(K130="NET30",Table1[[#This Row],[Posting Date]]+30,IF(K130="NET15",Table1[[#This Row],[Posting Date]]+15,IF(K130="COD",Table1[[#This Row],[Posting Date]],"")))</f>
        <v>45703</v>
      </c>
      <c r="M130" s="4">
        <f>IFERROR(IF(Table1[[#This Row],[Type]]="IN",Table1[[#This Row],[RC Date]]-Table1[[#This Row],[Posting Date]],""),"")</f>
        <v>53</v>
      </c>
      <c r="N130">
        <f>IFERROR(IF(Table1[[#This Row],[Balance Due (LC)]]&lt;&gt;0,$S$1-L130,0),"")</f>
        <v>0</v>
      </c>
      <c r="O130">
        <f>IFERROR(IF(Table1[[#This Row],[Type]]="IN",Table1[[#This Row],[C/D (LC)]],IF(Table1[[#This Row],[Type]]="CN",Table1[[#This Row],[C/D (LC)]],"")),"")</f>
        <v>6004.8</v>
      </c>
      <c r="P130" t="str">
        <f>VLOOKUP(Table1[[#This Row],[Cust '#]],ClientInfo!$A:$B,2,0)</f>
        <v>Client_02</v>
      </c>
      <c r="Q130" t="str">
        <f>IFERROR(IF(#REF!&lt;&gt;0,$S$1-P130,0),"")</f>
        <v/>
      </c>
      <c r="R130" t="str">
        <f>IFERROR(IF(#REF!="IN",#REF!,IF(#REF!="CN",#REF!,"")),"")</f>
        <v/>
      </c>
    </row>
    <row r="131" spans="1:18">
      <c r="A131" t="s">
        <v>108</v>
      </c>
      <c r="B131" t="s">
        <v>12</v>
      </c>
      <c r="C131">
        <v>140019903</v>
      </c>
      <c r="D131" s="1">
        <v>45687</v>
      </c>
      <c r="E131">
        <v>7283.1</v>
      </c>
      <c r="F131">
        <v>0</v>
      </c>
      <c r="G131">
        <v>700002922</v>
      </c>
      <c r="H131" s="1">
        <v>45726</v>
      </c>
      <c r="I131">
        <f>YEAR(Table1[[#This Row],[Posting Date]])</f>
        <v>2025</v>
      </c>
      <c r="J131">
        <f>MONTH(Table1[[#This Row],[Posting Date]])</f>
        <v>1</v>
      </c>
      <c r="K131" t="str">
        <f>IF(Table1[[#This Row],[Type]]="IN",VLOOKUP(Table1[[#This Row],[Cust '#]],ClientInfo!$A:$D,4,0),"")</f>
        <v>NET30</v>
      </c>
      <c r="L131" s="1">
        <f>IF(K131="NET30",Table1[[#This Row],[Posting Date]]+30,IF(K131="NET15",Table1[[#This Row],[Posting Date]]+15,IF(K131="COD",Table1[[#This Row],[Posting Date]],"")))</f>
        <v>45717</v>
      </c>
      <c r="M131" s="4">
        <f>IFERROR(IF(Table1[[#This Row],[Type]]="IN",Table1[[#This Row],[RC Date]]-Table1[[#This Row],[Posting Date]],""),"")</f>
        <v>39</v>
      </c>
      <c r="N131">
        <f>IFERROR(IF(Table1[[#This Row],[Balance Due (LC)]]&lt;&gt;0,$S$1-L131,0),"")</f>
        <v>0</v>
      </c>
      <c r="O131">
        <f>IFERROR(IF(Table1[[#This Row],[Type]]="IN",Table1[[#This Row],[C/D (LC)]],IF(Table1[[#This Row],[Type]]="CN",Table1[[#This Row],[C/D (LC)]],"")),"")</f>
        <v>7283.1</v>
      </c>
      <c r="P131" t="str">
        <f>VLOOKUP(Table1[[#This Row],[Cust '#]],ClientInfo!$A:$B,2,0)</f>
        <v>Client_02</v>
      </c>
      <c r="Q131" t="str">
        <f>IFERROR(IF(#REF!&lt;&gt;0,$S$1-P131,0),"")</f>
        <v/>
      </c>
      <c r="R131" t="str">
        <f>IFERROR(IF(#REF!="IN",#REF!,IF(#REF!="CN",#REF!,"")),"")</f>
        <v/>
      </c>
    </row>
    <row r="132" spans="1:18">
      <c r="A132" t="s">
        <v>108</v>
      </c>
      <c r="B132" t="s">
        <v>10</v>
      </c>
      <c r="C132">
        <v>700002711</v>
      </c>
      <c r="D132" s="1">
        <v>45699</v>
      </c>
      <c r="E132">
        <v>-10056</v>
      </c>
      <c r="F132">
        <v>0</v>
      </c>
      <c r="G132">
        <v>700002711</v>
      </c>
      <c r="H132" s="1">
        <v>45699</v>
      </c>
      <c r="I132">
        <f>YEAR(Table1[[#This Row],[Posting Date]])</f>
        <v>2025</v>
      </c>
      <c r="J132">
        <f>MONTH(Table1[[#This Row],[Posting Date]])</f>
        <v>2</v>
      </c>
      <c r="K132" t="str">
        <f>IF(Table1[[#This Row],[Type]]="IN",VLOOKUP(Table1[[#This Row],[Cust '#]],ClientInfo!$A:$D,4,0),"")</f>
        <v/>
      </c>
      <c r="L132" s="1" t="str">
        <f>IF(K132="NET30",Table1[[#This Row],[Posting Date]]+30,IF(K132="NET15",Table1[[#This Row],[Posting Date]]+15,IF(K132="COD",Table1[[#This Row],[Posting Date]],"")))</f>
        <v/>
      </c>
      <c r="M132" s="4" t="str">
        <f>IFERROR(IF(Table1[[#This Row],[Type]]="IN",Table1[[#This Row],[RC Date]]-Table1[[#This Row],[Posting Date]],""),"")</f>
        <v/>
      </c>
      <c r="N132">
        <f>IFERROR(IF(Table1[[#This Row],[Balance Due (LC)]]&lt;&gt;0,$S$1-L132,0),"")</f>
        <v>0</v>
      </c>
      <c r="O132" t="str">
        <f>IFERROR(IF(Table1[[#This Row],[Type]]="IN",Table1[[#This Row],[C/D (LC)]],IF(Table1[[#This Row],[Type]]="CN",Table1[[#This Row],[C/D (LC)]],"")),"")</f>
        <v/>
      </c>
      <c r="P132" t="str">
        <f>VLOOKUP(Table1[[#This Row],[Cust '#]],ClientInfo!$A:$B,2,0)</f>
        <v>Client_02</v>
      </c>
      <c r="Q132" t="str">
        <f>IFERROR(IF(#REF!&lt;&gt;0,$S$1-P132,0),"")</f>
        <v/>
      </c>
      <c r="R132" t="str">
        <f>IFERROR(IF(#REF!="IN",#REF!,IF(#REF!="CN",#REF!,"")),"")</f>
        <v/>
      </c>
    </row>
    <row r="133" spans="1:18">
      <c r="A133" t="s">
        <v>108</v>
      </c>
      <c r="B133" t="s">
        <v>12</v>
      </c>
      <c r="C133">
        <v>140020561</v>
      </c>
      <c r="D133" s="1">
        <v>45701</v>
      </c>
      <c r="E133">
        <v>4810.6000000000004</v>
      </c>
      <c r="F133">
        <v>0</v>
      </c>
      <c r="G133">
        <v>700003179</v>
      </c>
      <c r="H133" s="1">
        <v>45755</v>
      </c>
      <c r="I133">
        <f>YEAR(Table1[[#This Row],[Posting Date]])</f>
        <v>2025</v>
      </c>
      <c r="J133">
        <f>MONTH(Table1[[#This Row],[Posting Date]])</f>
        <v>2</v>
      </c>
      <c r="K133" t="str">
        <f>IF(Table1[[#This Row],[Type]]="IN",VLOOKUP(Table1[[#This Row],[Cust '#]],ClientInfo!$A:$D,4,0),"")</f>
        <v>NET30</v>
      </c>
      <c r="L133" s="1">
        <f>IF(K133="NET30",Table1[[#This Row],[Posting Date]]+30,IF(K133="NET15",Table1[[#This Row],[Posting Date]]+15,IF(K133="COD",Table1[[#This Row],[Posting Date]],"")))</f>
        <v>45731</v>
      </c>
      <c r="M133" s="4">
        <f>IFERROR(IF(Table1[[#This Row],[Type]]="IN",Table1[[#This Row],[RC Date]]-Table1[[#This Row],[Posting Date]],""),"")</f>
        <v>54</v>
      </c>
      <c r="N133">
        <f>IFERROR(IF(Table1[[#This Row],[Balance Due (LC)]]&lt;&gt;0,$S$1-L133,0),"")</f>
        <v>0</v>
      </c>
      <c r="O133">
        <f>IFERROR(IF(Table1[[#This Row],[Type]]="IN",Table1[[#This Row],[C/D (LC)]],IF(Table1[[#This Row],[Type]]="CN",Table1[[#This Row],[C/D (LC)]],"")),"")</f>
        <v>4810.6000000000004</v>
      </c>
      <c r="P133" t="str">
        <f>VLOOKUP(Table1[[#This Row],[Cust '#]],ClientInfo!$A:$B,2,0)</f>
        <v>Client_02</v>
      </c>
      <c r="Q133" t="str">
        <f>IFERROR(IF(#REF!&lt;&gt;0,$S$1-P133,0),"")</f>
        <v/>
      </c>
      <c r="R133" t="str">
        <f>IFERROR(IF(#REF!="IN",#REF!,IF(#REF!="CN",#REF!,"")),"")</f>
        <v/>
      </c>
    </row>
    <row r="134" spans="1:18">
      <c r="A134" t="s">
        <v>108</v>
      </c>
      <c r="B134" t="s">
        <v>12</v>
      </c>
      <c r="C134">
        <v>140021210</v>
      </c>
      <c r="D134" s="1">
        <v>45715</v>
      </c>
      <c r="E134">
        <v>5262.7</v>
      </c>
      <c r="F134">
        <v>0</v>
      </c>
      <c r="G134">
        <v>700003179</v>
      </c>
      <c r="H134" s="1">
        <v>45755</v>
      </c>
      <c r="I134">
        <f>YEAR(Table1[[#This Row],[Posting Date]])</f>
        <v>2025</v>
      </c>
      <c r="J134">
        <f>MONTH(Table1[[#This Row],[Posting Date]])</f>
        <v>2</v>
      </c>
      <c r="K134" t="str">
        <f>IF(Table1[[#This Row],[Type]]="IN",VLOOKUP(Table1[[#This Row],[Cust '#]],ClientInfo!$A:$D,4,0),"")</f>
        <v>NET30</v>
      </c>
      <c r="L134" s="1">
        <f>IF(K134="NET30",Table1[[#This Row],[Posting Date]]+30,IF(K134="NET15",Table1[[#This Row],[Posting Date]]+15,IF(K134="COD",Table1[[#This Row],[Posting Date]],"")))</f>
        <v>45745</v>
      </c>
      <c r="M134" s="4">
        <f>IFERROR(IF(Table1[[#This Row],[Type]]="IN",Table1[[#This Row],[RC Date]]-Table1[[#This Row],[Posting Date]],""),"")</f>
        <v>40</v>
      </c>
      <c r="N134">
        <f>IFERROR(IF(Table1[[#This Row],[Balance Due (LC)]]&lt;&gt;0,$S$1-L134,0),"")</f>
        <v>0</v>
      </c>
      <c r="O134">
        <f>IFERROR(IF(Table1[[#This Row],[Type]]="IN",Table1[[#This Row],[C/D (LC)]],IF(Table1[[#This Row],[Type]]="CN",Table1[[#This Row],[C/D (LC)]],"")),"")</f>
        <v>5262.7</v>
      </c>
      <c r="P134" t="str">
        <f>VLOOKUP(Table1[[#This Row],[Cust '#]],ClientInfo!$A:$B,2,0)</f>
        <v>Client_02</v>
      </c>
      <c r="Q134" t="str">
        <f>IFERROR(IF(#REF!&lt;&gt;0,$S$1-P134,0),"")</f>
        <v/>
      </c>
      <c r="R134" t="str">
        <f>IFERROR(IF(#REF!="IN",#REF!,IF(#REF!="CN",#REF!,"")),"")</f>
        <v/>
      </c>
    </row>
    <row r="135" spans="1:18">
      <c r="A135" t="s">
        <v>108</v>
      </c>
      <c r="B135" t="s">
        <v>10</v>
      </c>
      <c r="C135">
        <v>700002922</v>
      </c>
      <c r="D135" s="1">
        <v>45726</v>
      </c>
      <c r="E135">
        <v>-15474.5</v>
      </c>
      <c r="F135">
        <v>0</v>
      </c>
      <c r="G135">
        <v>700002922</v>
      </c>
      <c r="H135" s="1">
        <v>45726</v>
      </c>
      <c r="I135">
        <f>YEAR(Table1[[#This Row],[Posting Date]])</f>
        <v>2025</v>
      </c>
      <c r="J135">
        <f>MONTH(Table1[[#This Row],[Posting Date]])</f>
        <v>3</v>
      </c>
      <c r="K135" t="str">
        <f>IF(Table1[[#This Row],[Type]]="IN",VLOOKUP(Table1[[#This Row],[Cust '#]],ClientInfo!$A:$D,4,0),"")</f>
        <v/>
      </c>
      <c r="L135" s="1" t="str">
        <f>IF(K135="NET30",Table1[[#This Row],[Posting Date]]+30,IF(K135="NET15",Table1[[#This Row],[Posting Date]]+15,IF(K135="COD",Table1[[#This Row],[Posting Date]],"")))</f>
        <v/>
      </c>
      <c r="M135" s="4" t="str">
        <f>IFERROR(IF(Table1[[#This Row],[Type]]="IN",Table1[[#This Row],[RC Date]]-Table1[[#This Row],[Posting Date]],""),"")</f>
        <v/>
      </c>
      <c r="N135">
        <f>IFERROR(IF(Table1[[#This Row],[Balance Due (LC)]]&lt;&gt;0,$S$1-L135,0),"")</f>
        <v>0</v>
      </c>
      <c r="O135" t="str">
        <f>IFERROR(IF(Table1[[#This Row],[Type]]="IN",Table1[[#This Row],[C/D (LC)]],IF(Table1[[#This Row],[Type]]="CN",Table1[[#This Row],[C/D (LC)]],"")),"")</f>
        <v/>
      </c>
      <c r="P135" t="str">
        <f>VLOOKUP(Table1[[#This Row],[Cust '#]],ClientInfo!$A:$B,2,0)</f>
        <v>Client_02</v>
      </c>
      <c r="Q135" t="str">
        <f>IFERROR(IF(#REF!&lt;&gt;0,$S$1-P135,0),"")</f>
        <v/>
      </c>
      <c r="R135" t="str">
        <f>IFERROR(IF(#REF!="IN",#REF!,IF(#REF!="CN",#REF!,"")),"")</f>
        <v/>
      </c>
    </row>
    <row r="136" spans="1:18">
      <c r="A136" t="s">
        <v>108</v>
      </c>
      <c r="B136" t="s">
        <v>12</v>
      </c>
      <c r="C136">
        <v>140021825</v>
      </c>
      <c r="D136" s="1">
        <v>45729</v>
      </c>
      <c r="E136">
        <v>5313.3</v>
      </c>
      <c r="F136">
        <v>0</v>
      </c>
      <c r="G136">
        <v>700003179</v>
      </c>
      <c r="H136" s="1">
        <v>45755</v>
      </c>
      <c r="I136">
        <f>YEAR(Table1[[#This Row],[Posting Date]])</f>
        <v>2025</v>
      </c>
      <c r="J136">
        <f>MONTH(Table1[[#This Row],[Posting Date]])</f>
        <v>3</v>
      </c>
      <c r="K136" t="str">
        <f>IF(Table1[[#This Row],[Type]]="IN",VLOOKUP(Table1[[#This Row],[Cust '#]],ClientInfo!$A:$D,4,0),"")</f>
        <v>NET30</v>
      </c>
      <c r="L136" s="1">
        <f>IF(K136="NET30",Table1[[#This Row],[Posting Date]]+30,IF(K136="NET15",Table1[[#This Row],[Posting Date]]+15,IF(K136="COD",Table1[[#This Row],[Posting Date]],"")))</f>
        <v>45759</v>
      </c>
      <c r="M136" s="4">
        <f>IFERROR(IF(Table1[[#This Row],[Type]]="IN",Table1[[#This Row],[RC Date]]-Table1[[#This Row],[Posting Date]],""),"")</f>
        <v>26</v>
      </c>
      <c r="N136">
        <f>IFERROR(IF(Table1[[#This Row],[Balance Due (LC)]]&lt;&gt;0,$S$1-L136,0),"")</f>
        <v>0</v>
      </c>
      <c r="O136">
        <f>IFERROR(IF(Table1[[#This Row],[Type]]="IN",Table1[[#This Row],[C/D (LC)]],IF(Table1[[#This Row],[Type]]="CN",Table1[[#This Row],[C/D (LC)]],"")),"")</f>
        <v>5313.3</v>
      </c>
      <c r="P136" t="str">
        <f>VLOOKUP(Table1[[#This Row],[Cust '#]],ClientInfo!$A:$B,2,0)</f>
        <v>Client_02</v>
      </c>
      <c r="Q136" t="str">
        <f>IFERROR(IF(#REF!&lt;&gt;0,$S$1-P136,0),"")</f>
        <v/>
      </c>
      <c r="R136" t="str">
        <f>IFERROR(IF(#REF!="IN",#REF!,IF(#REF!="CN",#REF!,"")),"")</f>
        <v/>
      </c>
    </row>
    <row r="137" spans="1:18">
      <c r="A137" t="s">
        <v>108</v>
      </c>
      <c r="B137" t="s">
        <v>13</v>
      </c>
      <c r="C137">
        <v>150001029</v>
      </c>
      <c r="D137" s="1">
        <v>45742</v>
      </c>
      <c r="E137">
        <v>-89</v>
      </c>
      <c r="F137">
        <v>0</v>
      </c>
      <c r="G137">
        <v>700003179</v>
      </c>
      <c r="H137" s="1">
        <v>45755</v>
      </c>
      <c r="I137">
        <f>YEAR(Table1[[#This Row],[Posting Date]])</f>
        <v>2025</v>
      </c>
      <c r="J137">
        <f>MONTH(Table1[[#This Row],[Posting Date]])</f>
        <v>3</v>
      </c>
      <c r="K137" t="str">
        <f>IF(Table1[[#This Row],[Type]]="IN",VLOOKUP(Table1[[#This Row],[Cust '#]],ClientInfo!$A:$D,4,0),"")</f>
        <v/>
      </c>
      <c r="L137" s="1" t="str">
        <f>IF(K137="NET30",Table1[[#This Row],[Posting Date]]+30,IF(K137="NET15",Table1[[#This Row],[Posting Date]]+15,IF(K137="COD",Table1[[#This Row],[Posting Date]],"")))</f>
        <v/>
      </c>
      <c r="M137" s="4" t="str">
        <f>IFERROR(IF(Table1[[#This Row],[Type]]="IN",Table1[[#This Row],[RC Date]]-Table1[[#This Row],[Posting Date]],""),"")</f>
        <v/>
      </c>
      <c r="N137">
        <f>IFERROR(IF(Table1[[#This Row],[Balance Due (LC)]]&lt;&gt;0,$S$1-L137,0),"")</f>
        <v>0</v>
      </c>
      <c r="O137">
        <f>IFERROR(IF(Table1[[#This Row],[Type]]="IN",Table1[[#This Row],[C/D (LC)]],IF(Table1[[#This Row],[Type]]="CN",Table1[[#This Row],[C/D (LC)]],"")),"")</f>
        <v>-89</v>
      </c>
      <c r="P137" t="str">
        <f>VLOOKUP(Table1[[#This Row],[Cust '#]],ClientInfo!$A:$B,2,0)</f>
        <v>Client_02</v>
      </c>
      <c r="Q137" t="str">
        <f>IFERROR(IF(#REF!&lt;&gt;0,$S$1-P137,0),"")</f>
        <v/>
      </c>
      <c r="R137" t="str">
        <f>IFERROR(IF(#REF!="IN",#REF!,IF(#REF!="CN",#REF!,"")),"")</f>
        <v/>
      </c>
    </row>
    <row r="138" spans="1:18">
      <c r="A138" t="s">
        <v>108</v>
      </c>
      <c r="B138" t="s">
        <v>12</v>
      </c>
      <c r="C138">
        <v>140022433</v>
      </c>
      <c r="D138" s="1">
        <v>45743</v>
      </c>
      <c r="E138">
        <v>4764.6000000000004</v>
      </c>
      <c r="F138">
        <v>0</v>
      </c>
      <c r="G138">
        <v>700003179</v>
      </c>
      <c r="H138" s="1">
        <v>45755</v>
      </c>
      <c r="I138">
        <f>YEAR(Table1[[#This Row],[Posting Date]])</f>
        <v>2025</v>
      </c>
      <c r="J138">
        <f>MONTH(Table1[[#This Row],[Posting Date]])</f>
        <v>3</v>
      </c>
      <c r="K138" t="str">
        <f>IF(Table1[[#This Row],[Type]]="IN",VLOOKUP(Table1[[#This Row],[Cust '#]],ClientInfo!$A:$D,4,0),"")</f>
        <v>NET30</v>
      </c>
      <c r="L138" s="1">
        <f>IF(K138="NET30",Table1[[#This Row],[Posting Date]]+30,IF(K138="NET15",Table1[[#This Row],[Posting Date]]+15,IF(K138="COD",Table1[[#This Row],[Posting Date]],"")))</f>
        <v>45773</v>
      </c>
      <c r="M138" s="4">
        <f>IFERROR(IF(Table1[[#This Row],[Type]]="IN",Table1[[#This Row],[RC Date]]-Table1[[#This Row],[Posting Date]],""),"")</f>
        <v>12</v>
      </c>
      <c r="N138">
        <f>IFERROR(IF(Table1[[#This Row],[Balance Due (LC)]]&lt;&gt;0,$S$1-L138,0),"")</f>
        <v>0</v>
      </c>
      <c r="O138">
        <f>IFERROR(IF(Table1[[#This Row],[Type]]="IN",Table1[[#This Row],[C/D (LC)]],IF(Table1[[#This Row],[Type]]="CN",Table1[[#This Row],[C/D (LC)]],"")),"")</f>
        <v>4764.6000000000004</v>
      </c>
      <c r="P138" t="str">
        <f>VLOOKUP(Table1[[#This Row],[Cust '#]],ClientInfo!$A:$B,2,0)</f>
        <v>Client_02</v>
      </c>
      <c r="Q138" t="str">
        <f>IFERROR(IF(#REF!&lt;&gt;0,$S$1-P138,0),"")</f>
        <v/>
      </c>
      <c r="R138" t="str">
        <f>IFERROR(IF(#REF!="IN",#REF!,IF(#REF!="CN",#REF!,"")),"")</f>
        <v/>
      </c>
    </row>
    <row r="139" spans="1:18">
      <c r="A139" t="s">
        <v>108</v>
      </c>
      <c r="B139" t="s">
        <v>10</v>
      </c>
      <c r="C139">
        <v>700003179</v>
      </c>
      <c r="D139" s="1">
        <v>45755</v>
      </c>
      <c r="E139">
        <v>-10073.299999999999</v>
      </c>
      <c r="F139">
        <v>0</v>
      </c>
      <c r="G139">
        <v>700003179</v>
      </c>
      <c r="H139" s="1">
        <v>45755</v>
      </c>
      <c r="I139">
        <f>YEAR(Table1[[#This Row],[Posting Date]])</f>
        <v>2025</v>
      </c>
      <c r="J139">
        <f>MONTH(Table1[[#This Row],[Posting Date]])</f>
        <v>4</v>
      </c>
      <c r="K139" t="str">
        <f>IF(Table1[[#This Row],[Type]]="IN",VLOOKUP(Table1[[#This Row],[Cust '#]],ClientInfo!$A:$D,4,0),"")</f>
        <v/>
      </c>
      <c r="L139" s="1" t="str">
        <f>IF(K139="NET30",Table1[[#This Row],[Posting Date]]+30,IF(K139="NET15",Table1[[#This Row],[Posting Date]]+15,IF(K139="COD",Table1[[#This Row],[Posting Date]],"")))</f>
        <v/>
      </c>
      <c r="M139" s="4" t="str">
        <f>IFERROR(IF(Table1[[#This Row],[Type]]="IN",Table1[[#This Row],[RC Date]]-Table1[[#This Row],[Posting Date]],""),"")</f>
        <v/>
      </c>
      <c r="N139">
        <f>IFERROR(IF(Table1[[#This Row],[Balance Due (LC)]]&lt;&gt;0,$S$1-L139,0),"")</f>
        <v>0</v>
      </c>
      <c r="O139" t="str">
        <f>IFERROR(IF(Table1[[#This Row],[Type]]="IN",Table1[[#This Row],[C/D (LC)]],IF(Table1[[#This Row],[Type]]="CN",Table1[[#This Row],[C/D (LC)]],"")),"")</f>
        <v/>
      </c>
      <c r="P139" t="str">
        <f>VLOOKUP(Table1[[#This Row],[Cust '#]],ClientInfo!$A:$B,2,0)</f>
        <v>Client_02</v>
      </c>
      <c r="Q139" t="str">
        <f>IFERROR(IF(#REF!&lt;&gt;0,$S$1-P139,0),"")</f>
        <v/>
      </c>
      <c r="R139" t="str">
        <f>IFERROR(IF(#REF!="IN",#REF!,IF(#REF!="CN",#REF!,"")),"")</f>
        <v/>
      </c>
    </row>
    <row r="140" spans="1:18">
      <c r="A140" t="s">
        <v>108</v>
      </c>
      <c r="B140" t="s">
        <v>12</v>
      </c>
      <c r="C140">
        <v>140023046</v>
      </c>
      <c r="D140" s="1">
        <v>45757</v>
      </c>
      <c r="E140">
        <v>4131.3999999999996</v>
      </c>
      <c r="F140">
        <v>0</v>
      </c>
      <c r="G140">
        <v>700003585</v>
      </c>
      <c r="H140" s="1">
        <v>45807</v>
      </c>
      <c r="I140">
        <f>YEAR(Table1[[#This Row],[Posting Date]])</f>
        <v>2025</v>
      </c>
      <c r="J140">
        <f>MONTH(Table1[[#This Row],[Posting Date]])</f>
        <v>4</v>
      </c>
      <c r="K140" t="str">
        <f>IF(Table1[[#This Row],[Type]]="IN",VLOOKUP(Table1[[#This Row],[Cust '#]],ClientInfo!$A:$D,4,0),"")</f>
        <v>NET30</v>
      </c>
      <c r="L140" s="1">
        <f>IF(K140="NET30",Table1[[#This Row],[Posting Date]]+30,IF(K140="NET15",Table1[[#This Row],[Posting Date]]+15,IF(K140="COD",Table1[[#This Row],[Posting Date]],"")))</f>
        <v>45787</v>
      </c>
      <c r="M140" s="4">
        <f>IFERROR(IF(Table1[[#This Row],[Type]]="IN",Table1[[#This Row],[RC Date]]-Table1[[#This Row],[Posting Date]],""),"")</f>
        <v>50</v>
      </c>
      <c r="N140">
        <f>IFERROR(IF(Table1[[#This Row],[Balance Due (LC)]]&lt;&gt;0,$S$1-L140,0),"")</f>
        <v>0</v>
      </c>
      <c r="O140">
        <f>IFERROR(IF(Table1[[#This Row],[Type]]="IN",Table1[[#This Row],[C/D (LC)]],IF(Table1[[#This Row],[Type]]="CN",Table1[[#This Row],[C/D (LC)]],"")),"")</f>
        <v>4131.3999999999996</v>
      </c>
      <c r="P140" t="str">
        <f>VLOOKUP(Table1[[#This Row],[Cust '#]],ClientInfo!$A:$B,2,0)</f>
        <v>Client_02</v>
      </c>
      <c r="Q140" t="str">
        <f>IFERROR(IF(#REF!&lt;&gt;0,$S$1-P140,0),"")</f>
        <v/>
      </c>
      <c r="R140" t="str">
        <f>IFERROR(IF(#REF!="IN",#REF!,IF(#REF!="CN",#REF!,"")),"")</f>
        <v/>
      </c>
    </row>
    <row r="141" spans="1:18">
      <c r="A141" t="s">
        <v>108</v>
      </c>
      <c r="B141" t="s">
        <v>12</v>
      </c>
      <c r="C141">
        <v>140023651</v>
      </c>
      <c r="D141" s="1">
        <v>45771</v>
      </c>
      <c r="E141">
        <v>3907.8</v>
      </c>
      <c r="F141">
        <v>0</v>
      </c>
      <c r="G141">
        <v>700003585</v>
      </c>
      <c r="H141" s="1">
        <v>45807</v>
      </c>
      <c r="I141">
        <f>YEAR(Table1[[#This Row],[Posting Date]])</f>
        <v>2025</v>
      </c>
      <c r="J141">
        <f>MONTH(Table1[[#This Row],[Posting Date]])</f>
        <v>4</v>
      </c>
      <c r="K141" t="str">
        <f>IF(Table1[[#This Row],[Type]]="IN",VLOOKUP(Table1[[#This Row],[Cust '#]],ClientInfo!$A:$D,4,0),"")</f>
        <v>NET30</v>
      </c>
      <c r="L141" s="1">
        <f>IF(K141="NET30",Table1[[#This Row],[Posting Date]]+30,IF(K141="NET15",Table1[[#This Row],[Posting Date]]+15,IF(K141="COD",Table1[[#This Row],[Posting Date]],"")))</f>
        <v>45801</v>
      </c>
      <c r="M141" s="4">
        <f>IFERROR(IF(Table1[[#This Row],[Type]]="IN",Table1[[#This Row],[RC Date]]-Table1[[#This Row],[Posting Date]],""),"")</f>
        <v>36</v>
      </c>
      <c r="N141">
        <f>IFERROR(IF(Table1[[#This Row],[Balance Due (LC)]]&lt;&gt;0,$S$1-L141,0),"")</f>
        <v>0</v>
      </c>
      <c r="O141">
        <f>IFERROR(IF(Table1[[#This Row],[Type]]="IN",Table1[[#This Row],[C/D (LC)]],IF(Table1[[#This Row],[Type]]="CN",Table1[[#This Row],[C/D (LC)]],"")),"")</f>
        <v>3907.8</v>
      </c>
      <c r="P141" t="str">
        <f>VLOOKUP(Table1[[#This Row],[Cust '#]],ClientInfo!$A:$B,2,0)</f>
        <v>Client_02</v>
      </c>
      <c r="Q141" t="str">
        <f>IFERROR(IF(#REF!&lt;&gt;0,$S$1-P141,0),"")</f>
        <v/>
      </c>
      <c r="R141" t="str">
        <f>IFERROR(IF(#REF!="IN",#REF!,IF(#REF!="CN",#REF!,"")),"")</f>
        <v/>
      </c>
    </row>
    <row r="142" spans="1:18">
      <c r="A142" t="s">
        <v>108</v>
      </c>
      <c r="B142" t="s">
        <v>10</v>
      </c>
      <c r="C142">
        <v>700003400</v>
      </c>
      <c r="D142" s="1">
        <v>45784</v>
      </c>
      <c r="E142">
        <v>-9988.9</v>
      </c>
      <c r="F142">
        <v>0</v>
      </c>
      <c r="H142" s="1" t="s">
        <v>14</v>
      </c>
      <c r="I142">
        <f>YEAR(Table1[[#This Row],[Posting Date]])</f>
        <v>2025</v>
      </c>
      <c r="J142">
        <f>MONTH(Table1[[#This Row],[Posting Date]])</f>
        <v>5</v>
      </c>
      <c r="K142" t="str">
        <f>IF(Table1[[#This Row],[Type]]="IN",VLOOKUP(Table1[[#This Row],[Cust '#]],ClientInfo!$A:$D,4,0),"")</f>
        <v/>
      </c>
      <c r="L142" s="1" t="str">
        <f>IF(K142="NET30",Table1[[#This Row],[Posting Date]]+30,IF(K142="NET15",Table1[[#This Row],[Posting Date]]+15,IF(K142="COD",Table1[[#This Row],[Posting Date]],"")))</f>
        <v/>
      </c>
      <c r="M142" s="4" t="str">
        <f>IFERROR(IF(Table1[[#This Row],[Type]]="IN",Table1[[#This Row],[RC Date]]-Table1[[#This Row],[Posting Date]],""),"")</f>
        <v/>
      </c>
      <c r="N142">
        <f>IFERROR(IF(Table1[[#This Row],[Balance Due (LC)]]&lt;&gt;0,$S$1-L142,0),"")</f>
        <v>0</v>
      </c>
      <c r="O142" t="str">
        <f>IFERROR(IF(Table1[[#This Row],[Type]]="IN",Table1[[#This Row],[C/D (LC)]],IF(Table1[[#This Row],[Type]]="CN",Table1[[#This Row],[C/D (LC)]],"")),"")</f>
        <v/>
      </c>
      <c r="P142" t="str">
        <f>VLOOKUP(Table1[[#This Row],[Cust '#]],ClientInfo!$A:$B,2,0)</f>
        <v>Client_02</v>
      </c>
    </row>
    <row r="143" spans="1:18">
      <c r="A143" t="s">
        <v>108</v>
      </c>
      <c r="B143" t="s">
        <v>12</v>
      </c>
      <c r="C143">
        <v>140024263</v>
      </c>
      <c r="D143" s="1">
        <v>45785</v>
      </c>
      <c r="E143">
        <v>7291.7</v>
      </c>
      <c r="F143">
        <v>7291.7</v>
      </c>
      <c r="H143" s="1" t="s">
        <v>14</v>
      </c>
      <c r="I143">
        <f>YEAR(Table1[[#This Row],[Posting Date]])</f>
        <v>2025</v>
      </c>
      <c r="J143">
        <f>MONTH(Table1[[#This Row],[Posting Date]])</f>
        <v>5</v>
      </c>
      <c r="K143" t="str">
        <f>IF(Table1[[#This Row],[Type]]="IN",VLOOKUP(Table1[[#This Row],[Cust '#]],ClientInfo!$A:$D,4,0),"")</f>
        <v>NET30</v>
      </c>
      <c r="L143" s="1">
        <f>IF(K143="NET30",Table1[[#This Row],[Posting Date]]+30,IF(K143="NET15",Table1[[#This Row],[Posting Date]]+15,IF(K143="COD",Table1[[#This Row],[Posting Date]],"")))</f>
        <v>45815</v>
      </c>
      <c r="M143" s="4" t="str">
        <f>IFERROR(IF(Table1[[#This Row],[Type]]="IN",Table1[[#This Row],[RC Date]]-Table1[[#This Row],[Posting Date]],""),"")</f>
        <v/>
      </c>
      <c r="N143">
        <f>IFERROR(IF(Table1[[#This Row],[Balance Due (LC)]]&lt;&gt;0,$S$1-L143,0),"")</f>
        <v>11</v>
      </c>
      <c r="O143">
        <f>IFERROR(IF(Table1[[#This Row],[Type]]="IN",Table1[[#This Row],[C/D (LC)]],IF(Table1[[#This Row],[Type]]="CN",Table1[[#This Row],[C/D (LC)]],"")),"")</f>
        <v>7291.7</v>
      </c>
      <c r="P143" t="str">
        <f>VLOOKUP(Table1[[#This Row],[Cust '#]],ClientInfo!$A:$B,2,0)</f>
        <v>Client_02</v>
      </c>
    </row>
    <row r="144" spans="1:18">
      <c r="A144" t="s">
        <v>108</v>
      </c>
      <c r="B144" t="s">
        <v>12</v>
      </c>
      <c r="C144">
        <v>140024884</v>
      </c>
      <c r="D144" s="1">
        <v>45799</v>
      </c>
      <c r="E144">
        <v>3833.1</v>
      </c>
      <c r="F144">
        <v>3833.1</v>
      </c>
      <c r="H144" s="1" t="s">
        <v>14</v>
      </c>
      <c r="I144">
        <f>YEAR(Table1[[#This Row],[Posting Date]])</f>
        <v>2025</v>
      </c>
      <c r="J144">
        <f>MONTH(Table1[[#This Row],[Posting Date]])</f>
        <v>5</v>
      </c>
      <c r="K144" t="str">
        <f>IF(Table1[[#This Row],[Type]]="IN",VLOOKUP(Table1[[#This Row],[Cust '#]],ClientInfo!$A:$D,4,0),"")</f>
        <v>NET30</v>
      </c>
      <c r="L144" s="1">
        <f>IF(K144="NET30",Table1[[#This Row],[Posting Date]]+30,IF(K144="NET15",Table1[[#This Row],[Posting Date]]+15,IF(K144="COD",Table1[[#This Row],[Posting Date]],"")))</f>
        <v>45829</v>
      </c>
      <c r="M144" s="4" t="str">
        <f>IFERROR(IF(Table1[[#This Row],[Type]]="IN",Table1[[#This Row],[RC Date]]-Table1[[#This Row],[Posting Date]],""),"")</f>
        <v/>
      </c>
      <c r="N144">
        <f>IFERROR(IF(Table1[[#This Row],[Balance Due (LC)]]&lt;&gt;0,$S$1-L144,0),"")</f>
        <v>-3</v>
      </c>
      <c r="O144">
        <f>IFERROR(IF(Table1[[#This Row],[Type]]="IN",Table1[[#This Row],[C/D (LC)]],IF(Table1[[#This Row],[Type]]="CN",Table1[[#This Row],[C/D (LC)]],"")),"")</f>
        <v>3833.1</v>
      </c>
      <c r="P144" t="str">
        <f>VLOOKUP(Table1[[#This Row],[Cust '#]],ClientInfo!$A:$B,2,0)</f>
        <v>Client_02</v>
      </c>
    </row>
    <row r="145" spans="1:16">
      <c r="A145" t="s">
        <v>108</v>
      </c>
      <c r="B145" t="s">
        <v>10</v>
      </c>
      <c r="C145">
        <v>700003585</v>
      </c>
      <c r="D145" s="1">
        <v>45807</v>
      </c>
      <c r="E145">
        <v>-8039.2</v>
      </c>
      <c r="F145">
        <v>0</v>
      </c>
      <c r="G145">
        <v>700003585</v>
      </c>
      <c r="H145" s="1">
        <v>45807</v>
      </c>
      <c r="I145">
        <f>YEAR(Table1[[#This Row],[Posting Date]])</f>
        <v>2025</v>
      </c>
      <c r="J145">
        <f>MONTH(Table1[[#This Row],[Posting Date]])</f>
        <v>5</v>
      </c>
      <c r="K145" t="str">
        <f>IF(Table1[[#This Row],[Type]]="IN",VLOOKUP(Table1[[#This Row],[Cust '#]],ClientInfo!$A:$D,4,0),"")</f>
        <v/>
      </c>
      <c r="L145" s="1" t="str">
        <f>IF(K145="NET30",Table1[[#This Row],[Posting Date]]+30,IF(K145="NET15",Table1[[#This Row],[Posting Date]]+15,IF(K145="COD",Table1[[#This Row],[Posting Date]],"")))</f>
        <v/>
      </c>
      <c r="M145" s="4" t="str">
        <f>IFERROR(IF(Table1[[#This Row],[Type]]="IN",Table1[[#This Row],[RC Date]]-Table1[[#This Row],[Posting Date]],""),"")</f>
        <v/>
      </c>
      <c r="N145">
        <f>IFERROR(IF(Table1[[#This Row],[Balance Due (LC)]]&lt;&gt;0,$S$1-L145,0),"")</f>
        <v>0</v>
      </c>
      <c r="O145" t="str">
        <f>IFERROR(IF(Table1[[#This Row],[Type]]="IN",Table1[[#This Row],[C/D (LC)]],IF(Table1[[#This Row],[Type]]="CN",Table1[[#This Row],[C/D (LC)]],"")),"")</f>
        <v/>
      </c>
      <c r="P145" t="str">
        <f>VLOOKUP(Table1[[#This Row],[Cust '#]],ClientInfo!$A:$B,2,0)</f>
        <v>Client_02</v>
      </c>
    </row>
    <row r="146" spans="1:16">
      <c r="A146" t="s">
        <v>108</v>
      </c>
      <c r="B146" t="s">
        <v>12</v>
      </c>
      <c r="C146">
        <v>140025528</v>
      </c>
      <c r="D146" s="1">
        <v>45813</v>
      </c>
      <c r="E146">
        <v>5146.3</v>
      </c>
      <c r="F146">
        <v>5146.3</v>
      </c>
      <c r="H146" s="1" t="s">
        <v>14</v>
      </c>
      <c r="I146">
        <f>YEAR(Table1[[#This Row],[Posting Date]])</f>
        <v>2025</v>
      </c>
      <c r="J146">
        <f>MONTH(Table1[[#This Row],[Posting Date]])</f>
        <v>6</v>
      </c>
      <c r="K146" t="str">
        <f>IF(Table1[[#This Row],[Type]]="IN",VLOOKUP(Table1[[#This Row],[Cust '#]],ClientInfo!$A:$D,4,0),"")</f>
        <v>NET30</v>
      </c>
      <c r="L146" s="1">
        <f>IF(K146="NET30",Table1[[#This Row],[Posting Date]]+30,IF(K146="NET15",Table1[[#This Row],[Posting Date]]+15,IF(K146="COD",Table1[[#This Row],[Posting Date]],"")))</f>
        <v>45843</v>
      </c>
      <c r="M146" s="4" t="str">
        <f>IFERROR(IF(Table1[[#This Row],[Type]]="IN",Table1[[#This Row],[RC Date]]-Table1[[#This Row],[Posting Date]],""),"")</f>
        <v/>
      </c>
      <c r="N146">
        <f>IFERROR(IF(Table1[[#This Row],[Balance Due (LC)]]&lt;&gt;0,$S$1-L146,0),"")</f>
        <v>-17</v>
      </c>
      <c r="O146">
        <f>IFERROR(IF(Table1[[#This Row],[Type]]="IN",Table1[[#This Row],[C/D (LC)]],IF(Table1[[#This Row],[Type]]="CN",Table1[[#This Row],[C/D (LC)]],"")),"")</f>
        <v>5146.3</v>
      </c>
      <c r="P146" t="str">
        <f>VLOOKUP(Table1[[#This Row],[Cust '#]],ClientInfo!$A:$B,2,0)</f>
        <v>Client_02</v>
      </c>
    </row>
    <row r="147" spans="1:16">
      <c r="A147" t="s">
        <v>108</v>
      </c>
      <c r="B147" t="s">
        <v>12</v>
      </c>
      <c r="C147">
        <v>140026125</v>
      </c>
      <c r="D147" s="1">
        <v>45827</v>
      </c>
      <c r="E147">
        <v>5332.5</v>
      </c>
      <c r="F147">
        <v>5332.5</v>
      </c>
      <c r="H147" s="1" t="s">
        <v>14</v>
      </c>
      <c r="I147">
        <f>YEAR(Table1[[#This Row],[Posting Date]])</f>
        <v>2025</v>
      </c>
      <c r="J147">
        <f>MONTH(Table1[[#This Row],[Posting Date]])</f>
        <v>6</v>
      </c>
      <c r="K147" t="str">
        <f>IF(Table1[[#This Row],[Type]]="IN",VLOOKUP(Table1[[#This Row],[Cust '#]],ClientInfo!$A:$D,4,0),"")</f>
        <v>NET30</v>
      </c>
      <c r="L147" s="1">
        <f>IF(K147="NET30",Table1[[#This Row],[Posting Date]]+30,IF(K147="NET15",Table1[[#This Row],[Posting Date]]+15,IF(K147="COD",Table1[[#This Row],[Posting Date]],"")))</f>
        <v>45857</v>
      </c>
      <c r="M147" s="4" t="str">
        <f>IFERROR(IF(Table1[[#This Row],[Type]]="IN",Table1[[#This Row],[RC Date]]-Table1[[#This Row],[Posting Date]],""),"")</f>
        <v/>
      </c>
      <c r="N147">
        <f>IFERROR(IF(Table1[[#This Row],[Balance Due (LC)]]&lt;&gt;0,$S$1-L147,0),"")</f>
        <v>-31</v>
      </c>
      <c r="O147">
        <f>IFERROR(IF(Table1[[#This Row],[Type]]="IN",Table1[[#This Row],[C/D (LC)]],IF(Table1[[#This Row],[Type]]="CN",Table1[[#This Row],[C/D (LC)]],"")),"")</f>
        <v>5332.5</v>
      </c>
      <c r="P147" t="str">
        <f>VLOOKUP(Table1[[#This Row],[Cust '#]],ClientInfo!$A:$B,2,0)</f>
        <v>Client_02</v>
      </c>
    </row>
    <row r="148" spans="1:16">
      <c r="A148" t="s">
        <v>109</v>
      </c>
      <c r="B148" t="s">
        <v>12</v>
      </c>
      <c r="C148">
        <v>140000031</v>
      </c>
      <c r="D148" s="1">
        <v>44929</v>
      </c>
      <c r="E148">
        <v>60</v>
      </c>
      <c r="F148">
        <v>0</v>
      </c>
      <c r="G148">
        <v>150000362</v>
      </c>
      <c r="H148" s="1">
        <v>45442</v>
      </c>
      <c r="I148">
        <f>YEAR(Table1[[#This Row],[Posting Date]])</f>
        <v>2023</v>
      </c>
      <c r="J148">
        <f>MONTH(Table1[[#This Row],[Posting Date]])</f>
        <v>1</v>
      </c>
      <c r="K148" t="str">
        <f>IF(Table1[[#This Row],[Type]]="IN",VLOOKUP(Table1[[#This Row],[Cust '#]],ClientInfo!$A:$D,4,0),"")</f>
        <v>COD</v>
      </c>
      <c r="L148" s="1">
        <f>IF(K148="NET30",Table1[[#This Row],[Posting Date]]+30,IF(K148="NET15",Table1[[#This Row],[Posting Date]]+15,IF(K148="COD",Table1[[#This Row],[Posting Date]],"")))</f>
        <v>44929</v>
      </c>
      <c r="M148" s="4">
        <f>IFERROR(IF(Table1[[#This Row],[Type]]="IN",Table1[[#This Row],[RC Date]]-Table1[[#This Row],[Posting Date]],""),"")</f>
        <v>513</v>
      </c>
      <c r="N148">
        <f>IFERROR(IF(Table1[[#This Row],[Balance Due (LC)]]&lt;&gt;0,$S$1-L148,0),"")</f>
        <v>0</v>
      </c>
      <c r="O148">
        <f>IFERROR(IF(Table1[[#This Row],[Type]]="IN",Table1[[#This Row],[C/D (LC)]],IF(Table1[[#This Row],[Type]]="CN",Table1[[#This Row],[C/D (LC)]],"")),"")</f>
        <v>60</v>
      </c>
      <c r="P148" t="str">
        <f>VLOOKUP(Table1[[#This Row],[Cust '#]],ClientInfo!$A:$B,2,0)</f>
        <v>Client_03</v>
      </c>
    </row>
    <row r="149" spans="1:16">
      <c r="A149" t="s">
        <v>109</v>
      </c>
      <c r="B149" t="s">
        <v>10</v>
      </c>
      <c r="C149">
        <v>700000001</v>
      </c>
      <c r="D149" s="1">
        <v>44998</v>
      </c>
      <c r="E149">
        <v>-50.4</v>
      </c>
      <c r="F149">
        <v>0</v>
      </c>
      <c r="G149">
        <v>700000001</v>
      </c>
      <c r="H149" s="1">
        <v>44998</v>
      </c>
      <c r="I149">
        <f>YEAR(Table1[[#This Row],[Posting Date]])</f>
        <v>2023</v>
      </c>
      <c r="J149">
        <f>MONTH(Table1[[#This Row],[Posting Date]])</f>
        <v>3</v>
      </c>
      <c r="K149" t="str">
        <f>IF(Table1[[#This Row],[Type]]="IN",VLOOKUP(Table1[[#This Row],[Cust '#]],ClientInfo!$A:$D,4,0),"")</f>
        <v/>
      </c>
      <c r="L149" s="1" t="str">
        <f>IF(K149="NET30",Table1[[#This Row],[Posting Date]]+30,IF(K149="NET15",Table1[[#This Row],[Posting Date]]+15,IF(K149="COD",Table1[[#This Row],[Posting Date]],"")))</f>
        <v/>
      </c>
      <c r="M149" s="4" t="str">
        <f>IFERROR(IF(Table1[[#This Row],[Type]]="IN",Table1[[#This Row],[RC Date]]-Table1[[#This Row],[Posting Date]],""),"")</f>
        <v/>
      </c>
      <c r="N149">
        <f>IFERROR(IF(Table1[[#This Row],[Balance Due (LC)]]&lt;&gt;0,$S$1-L149,0),"")</f>
        <v>0</v>
      </c>
      <c r="O149" t="str">
        <f>IFERROR(IF(Table1[[#This Row],[Type]]="IN",Table1[[#This Row],[C/D (LC)]],IF(Table1[[#This Row],[Type]]="CN",Table1[[#This Row],[C/D (LC)]],"")),"")</f>
        <v/>
      </c>
      <c r="P149" t="str">
        <f>VLOOKUP(Table1[[#This Row],[Cust '#]],ClientInfo!$A:$B,2,0)</f>
        <v>Client_03</v>
      </c>
    </row>
    <row r="150" spans="1:16">
      <c r="A150" t="s">
        <v>109</v>
      </c>
      <c r="B150" t="s">
        <v>10</v>
      </c>
      <c r="C150">
        <v>700000001</v>
      </c>
      <c r="D150" s="1">
        <v>44998</v>
      </c>
      <c r="E150">
        <v>50.4</v>
      </c>
      <c r="F150">
        <v>0</v>
      </c>
      <c r="G150">
        <v>700000001</v>
      </c>
      <c r="H150" s="1">
        <v>44998</v>
      </c>
      <c r="I150">
        <f>YEAR(Table1[[#This Row],[Posting Date]])</f>
        <v>2023</v>
      </c>
      <c r="J150">
        <f>MONTH(Table1[[#This Row],[Posting Date]])</f>
        <v>3</v>
      </c>
      <c r="K150" t="str">
        <f>IF(Table1[[#This Row],[Type]]="IN",VLOOKUP(Table1[[#This Row],[Cust '#]],ClientInfo!$A:$D,4,0),"")</f>
        <v/>
      </c>
      <c r="L150" s="1" t="str">
        <f>IF(K150="NET30",Table1[[#This Row],[Posting Date]]+30,IF(K150="NET15",Table1[[#This Row],[Posting Date]]+15,IF(K150="COD",Table1[[#This Row],[Posting Date]],"")))</f>
        <v/>
      </c>
      <c r="M150" s="4" t="str">
        <f>IFERROR(IF(Table1[[#This Row],[Type]]="IN",Table1[[#This Row],[RC Date]]-Table1[[#This Row],[Posting Date]],""),"")</f>
        <v/>
      </c>
      <c r="N150">
        <f>IFERROR(IF(Table1[[#This Row],[Balance Due (LC)]]&lt;&gt;0,$S$1-L150,0),"")</f>
        <v>0</v>
      </c>
      <c r="O150" t="str">
        <f>IFERROR(IF(Table1[[#This Row],[Type]]="IN",Table1[[#This Row],[C/D (LC)]],IF(Table1[[#This Row],[Type]]="CN",Table1[[#This Row],[C/D (LC)]],"")),"")</f>
        <v/>
      </c>
      <c r="P150" t="str">
        <f>VLOOKUP(Table1[[#This Row],[Cust '#]],ClientInfo!$A:$B,2,0)</f>
        <v>Client_03</v>
      </c>
    </row>
    <row r="151" spans="1:16">
      <c r="A151" t="s">
        <v>109</v>
      </c>
      <c r="B151" t="s">
        <v>10</v>
      </c>
      <c r="C151">
        <v>700000019</v>
      </c>
      <c r="D151" s="1">
        <v>44998</v>
      </c>
      <c r="E151">
        <v>50.4</v>
      </c>
      <c r="F151">
        <v>0</v>
      </c>
      <c r="H151" s="1" t="s">
        <v>14</v>
      </c>
      <c r="I151">
        <f>YEAR(Table1[[#This Row],[Posting Date]])</f>
        <v>2023</v>
      </c>
      <c r="J151">
        <f>MONTH(Table1[[#This Row],[Posting Date]])</f>
        <v>3</v>
      </c>
      <c r="K151" t="str">
        <f>IF(Table1[[#This Row],[Type]]="IN",VLOOKUP(Table1[[#This Row],[Cust '#]],ClientInfo!$A:$D,4,0),"")</f>
        <v/>
      </c>
      <c r="L151" s="1" t="str">
        <f>IF(K151="NET30",Table1[[#This Row],[Posting Date]]+30,IF(K151="NET15",Table1[[#This Row],[Posting Date]]+15,IF(K151="COD",Table1[[#This Row],[Posting Date]],"")))</f>
        <v/>
      </c>
      <c r="M151" s="4" t="str">
        <f>IFERROR(IF(Table1[[#This Row],[Type]]="IN",Table1[[#This Row],[RC Date]]-Table1[[#This Row],[Posting Date]],""),"")</f>
        <v/>
      </c>
      <c r="N151">
        <f>IFERROR(IF(Table1[[#This Row],[Balance Due (LC)]]&lt;&gt;0,$S$1-L151,0),"")</f>
        <v>0</v>
      </c>
      <c r="O151" t="str">
        <f>IFERROR(IF(Table1[[#This Row],[Type]]="IN",Table1[[#This Row],[C/D (LC)]],IF(Table1[[#This Row],[Type]]="CN",Table1[[#This Row],[C/D (LC)]],"")),"")</f>
        <v/>
      </c>
      <c r="P151" t="str">
        <f>VLOOKUP(Table1[[#This Row],[Cust '#]],ClientInfo!$A:$B,2,0)</f>
        <v>Client_03</v>
      </c>
    </row>
    <row r="152" spans="1:16">
      <c r="A152" t="s">
        <v>109</v>
      </c>
      <c r="B152" t="s">
        <v>10</v>
      </c>
      <c r="C152">
        <v>700000002</v>
      </c>
      <c r="D152" s="1">
        <v>45176</v>
      </c>
      <c r="E152">
        <v>-139.19999999999999</v>
      </c>
      <c r="F152">
        <v>0</v>
      </c>
      <c r="G152">
        <v>700000021</v>
      </c>
      <c r="H152" s="1">
        <v>45176</v>
      </c>
      <c r="I152">
        <f>YEAR(Table1[[#This Row],[Posting Date]])</f>
        <v>2023</v>
      </c>
      <c r="J152">
        <f>MONTH(Table1[[#This Row],[Posting Date]])</f>
        <v>9</v>
      </c>
      <c r="K152" t="str">
        <f>IF(Table1[[#This Row],[Type]]="IN",VLOOKUP(Table1[[#This Row],[Cust '#]],ClientInfo!$A:$D,4,0),"")</f>
        <v/>
      </c>
      <c r="L152" s="1" t="str">
        <f>IF(K152="NET30",Table1[[#This Row],[Posting Date]]+30,IF(K152="NET15",Table1[[#This Row],[Posting Date]]+15,IF(K152="COD",Table1[[#This Row],[Posting Date]],"")))</f>
        <v/>
      </c>
      <c r="M152" s="4" t="str">
        <f>IFERROR(IF(Table1[[#This Row],[Type]]="IN",Table1[[#This Row],[RC Date]]-Table1[[#This Row],[Posting Date]],""),"")</f>
        <v/>
      </c>
      <c r="N152">
        <f>IFERROR(IF(Table1[[#This Row],[Balance Due (LC)]]&lt;&gt;0,$S$1-L152,0),"")</f>
        <v>0</v>
      </c>
      <c r="O152" t="str">
        <f>IFERROR(IF(Table1[[#This Row],[Type]]="IN",Table1[[#This Row],[C/D (LC)]],IF(Table1[[#This Row],[Type]]="CN",Table1[[#This Row],[C/D (LC)]],"")),"")</f>
        <v/>
      </c>
      <c r="P152" t="str">
        <f>VLOOKUP(Table1[[#This Row],[Cust '#]],ClientInfo!$A:$B,2,0)</f>
        <v>Client_03</v>
      </c>
    </row>
    <row r="153" spans="1:16">
      <c r="A153" t="s">
        <v>109</v>
      </c>
      <c r="B153" t="s">
        <v>10</v>
      </c>
      <c r="C153">
        <v>700000002</v>
      </c>
      <c r="D153" s="1">
        <v>45176</v>
      </c>
      <c r="E153">
        <v>139.19999999999999</v>
      </c>
      <c r="F153">
        <v>0</v>
      </c>
      <c r="G153">
        <v>700000021</v>
      </c>
      <c r="H153" s="1">
        <v>45176</v>
      </c>
      <c r="I153">
        <f>YEAR(Table1[[#This Row],[Posting Date]])</f>
        <v>2023</v>
      </c>
      <c r="J153">
        <f>MONTH(Table1[[#This Row],[Posting Date]])</f>
        <v>9</v>
      </c>
      <c r="K153" t="str">
        <f>IF(Table1[[#This Row],[Type]]="IN",VLOOKUP(Table1[[#This Row],[Cust '#]],ClientInfo!$A:$D,4,0),"")</f>
        <v/>
      </c>
      <c r="L153" s="1" t="str">
        <f>IF(K153="NET30",Table1[[#This Row],[Posting Date]]+30,IF(K153="NET15",Table1[[#This Row],[Posting Date]]+15,IF(K153="COD",Table1[[#This Row],[Posting Date]],"")))</f>
        <v/>
      </c>
      <c r="M153" s="4" t="str">
        <f>IFERROR(IF(Table1[[#This Row],[Type]]="IN",Table1[[#This Row],[RC Date]]-Table1[[#This Row],[Posting Date]],""),"")</f>
        <v/>
      </c>
      <c r="N153">
        <f>IFERROR(IF(Table1[[#This Row],[Balance Due (LC)]]&lt;&gt;0,$S$1-L153,0),"")</f>
        <v>0</v>
      </c>
      <c r="O153" t="str">
        <f>IFERROR(IF(Table1[[#This Row],[Type]]="IN",Table1[[#This Row],[C/D (LC)]],IF(Table1[[#This Row],[Type]]="CN",Table1[[#This Row],[C/D (LC)]],"")),"")</f>
        <v/>
      </c>
      <c r="P153" t="str">
        <f>VLOOKUP(Table1[[#This Row],[Cust '#]],ClientInfo!$A:$B,2,0)</f>
        <v>Client_03</v>
      </c>
    </row>
    <row r="154" spans="1:16">
      <c r="A154" t="s">
        <v>109</v>
      </c>
      <c r="B154" t="s">
        <v>10</v>
      </c>
      <c r="C154">
        <v>700000021</v>
      </c>
      <c r="D154" s="1">
        <v>45176</v>
      </c>
      <c r="E154">
        <v>139.19999999999999</v>
      </c>
      <c r="F154">
        <v>0</v>
      </c>
      <c r="G154">
        <v>700000021</v>
      </c>
      <c r="H154" s="1">
        <v>45176</v>
      </c>
      <c r="I154">
        <f>YEAR(Table1[[#This Row],[Posting Date]])</f>
        <v>2023</v>
      </c>
      <c r="J154">
        <f>MONTH(Table1[[#This Row],[Posting Date]])</f>
        <v>9</v>
      </c>
      <c r="K154" t="str">
        <f>IF(Table1[[#This Row],[Type]]="IN",VLOOKUP(Table1[[#This Row],[Cust '#]],ClientInfo!$A:$D,4,0),"")</f>
        <v/>
      </c>
      <c r="L154" s="1" t="str">
        <f>IF(K154="NET30",Table1[[#This Row],[Posting Date]]+30,IF(K154="NET15",Table1[[#This Row],[Posting Date]]+15,IF(K154="COD",Table1[[#This Row],[Posting Date]],"")))</f>
        <v/>
      </c>
      <c r="M154" s="4" t="str">
        <f>IFERROR(IF(Table1[[#This Row],[Type]]="IN",Table1[[#This Row],[RC Date]]-Table1[[#This Row],[Posting Date]],""),"")</f>
        <v/>
      </c>
      <c r="N154">
        <f>IFERROR(IF(Table1[[#This Row],[Balance Due (LC)]]&lt;&gt;0,$S$1-L154,0),"")</f>
        <v>0</v>
      </c>
      <c r="O154" t="str">
        <f>IFERROR(IF(Table1[[#This Row],[Type]]="IN",Table1[[#This Row],[C/D (LC)]],IF(Table1[[#This Row],[Type]]="CN",Table1[[#This Row],[C/D (LC)]],"")),"")</f>
        <v/>
      </c>
      <c r="P154" t="str">
        <f>VLOOKUP(Table1[[#This Row],[Cust '#]],ClientInfo!$A:$B,2,0)</f>
        <v>Client_03</v>
      </c>
    </row>
    <row r="155" spans="1:16">
      <c r="A155" t="s">
        <v>109</v>
      </c>
      <c r="B155" t="s">
        <v>12</v>
      </c>
      <c r="C155">
        <v>140000032</v>
      </c>
      <c r="D155" s="1">
        <v>45265</v>
      </c>
      <c r="E155">
        <v>3440.75</v>
      </c>
      <c r="F155">
        <v>0</v>
      </c>
      <c r="G155">
        <v>700000673</v>
      </c>
      <c r="H155" s="1">
        <v>45432</v>
      </c>
      <c r="I155">
        <f>YEAR(Table1[[#This Row],[Posting Date]])</f>
        <v>2023</v>
      </c>
      <c r="J155">
        <f>MONTH(Table1[[#This Row],[Posting Date]])</f>
        <v>12</v>
      </c>
      <c r="K155" t="str">
        <f>IF(Table1[[#This Row],[Type]]="IN",VLOOKUP(Table1[[#This Row],[Cust '#]],ClientInfo!$A:$D,4,0),"")</f>
        <v>COD</v>
      </c>
      <c r="L155" s="1">
        <f>IF(K155="NET30",Table1[[#This Row],[Posting Date]]+30,IF(K155="NET15",Table1[[#This Row],[Posting Date]]+15,IF(K155="COD",Table1[[#This Row],[Posting Date]],"")))</f>
        <v>45265</v>
      </c>
      <c r="M155" s="4">
        <f>IFERROR(IF(Table1[[#This Row],[Type]]="IN",Table1[[#This Row],[RC Date]]-Table1[[#This Row],[Posting Date]],""),"")</f>
        <v>167</v>
      </c>
      <c r="N155">
        <f>IFERROR(IF(Table1[[#This Row],[Balance Due (LC)]]&lt;&gt;0,$S$1-L155,0),"")</f>
        <v>0</v>
      </c>
      <c r="O155">
        <f>IFERROR(IF(Table1[[#This Row],[Type]]="IN",Table1[[#This Row],[C/D (LC)]],IF(Table1[[#This Row],[Type]]="CN",Table1[[#This Row],[C/D (LC)]],"")),"")</f>
        <v>3440.75</v>
      </c>
      <c r="P155" t="str">
        <f>VLOOKUP(Table1[[#This Row],[Cust '#]],ClientInfo!$A:$B,2,0)</f>
        <v>Client_03</v>
      </c>
    </row>
    <row r="156" spans="1:16">
      <c r="A156" t="s">
        <v>109</v>
      </c>
      <c r="B156" t="s">
        <v>10</v>
      </c>
      <c r="C156">
        <v>700000003</v>
      </c>
      <c r="D156" s="1">
        <v>45307</v>
      </c>
      <c r="E156">
        <v>-161.6</v>
      </c>
      <c r="F156">
        <v>0</v>
      </c>
      <c r="G156">
        <v>700000003</v>
      </c>
      <c r="H156" s="1">
        <v>45307</v>
      </c>
      <c r="I156">
        <f>YEAR(Table1[[#This Row],[Posting Date]])</f>
        <v>2024</v>
      </c>
      <c r="J156">
        <f>MONTH(Table1[[#This Row],[Posting Date]])</f>
        <v>1</v>
      </c>
      <c r="K156" t="str">
        <f>IF(Table1[[#This Row],[Type]]="IN",VLOOKUP(Table1[[#This Row],[Cust '#]],ClientInfo!$A:$D,4,0),"")</f>
        <v/>
      </c>
      <c r="L156" s="1" t="str">
        <f>IF(K156="NET30",Table1[[#This Row],[Posting Date]]+30,IF(K156="NET15",Table1[[#This Row],[Posting Date]]+15,IF(K156="COD",Table1[[#This Row],[Posting Date]],"")))</f>
        <v/>
      </c>
      <c r="M156" s="4" t="str">
        <f>IFERROR(IF(Table1[[#This Row],[Type]]="IN",Table1[[#This Row],[RC Date]]-Table1[[#This Row],[Posting Date]],""),"")</f>
        <v/>
      </c>
      <c r="N156">
        <f>IFERROR(IF(Table1[[#This Row],[Balance Due (LC)]]&lt;&gt;0,$S$1-L156,0),"")</f>
        <v>0</v>
      </c>
      <c r="O156" t="str">
        <f>IFERROR(IF(Table1[[#This Row],[Type]]="IN",Table1[[#This Row],[C/D (LC)]],IF(Table1[[#This Row],[Type]]="CN",Table1[[#This Row],[C/D (LC)]],"")),"")</f>
        <v/>
      </c>
      <c r="P156" t="str">
        <f>VLOOKUP(Table1[[#This Row],[Cust '#]],ClientInfo!$A:$B,2,0)</f>
        <v>Client_03</v>
      </c>
    </row>
    <row r="157" spans="1:16">
      <c r="A157" t="s">
        <v>109</v>
      </c>
      <c r="B157" t="s">
        <v>10</v>
      </c>
      <c r="C157">
        <v>700000003</v>
      </c>
      <c r="D157" s="1">
        <v>45307</v>
      </c>
      <c r="E157">
        <v>161.6</v>
      </c>
      <c r="F157">
        <v>0</v>
      </c>
      <c r="G157">
        <v>700000003</v>
      </c>
      <c r="H157" s="1">
        <v>45307</v>
      </c>
      <c r="I157">
        <f>YEAR(Table1[[#This Row],[Posting Date]])</f>
        <v>2024</v>
      </c>
      <c r="J157">
        <f>MONTH(Table1[[#This Row],[Posting Date]])</f>
        <v>1</v>
      </c>
      <c r="K157" t="str">
        <f>IF(Table1[[#This Row],[Type]]="IN",VLOOKUP(Table1[[#This Row],[Cust '#]],ClientInfo!$A:$D,4,0),"")</f>
        <v/>
      </c>
      <c r="L157" s="1" t="str">
        <f>IF(K157="NET30",Table1[[#This Row],[Posting Date]]+30,IF(K157="NET15",Table1[[#This Row],[Posting Date]]+15,IF(K157="COD",Table1[[#This Row],[Posting Date]],"")))</f>
        <v/>
      </c>
      <c r="M157" s="4" t="str">
        <f>IFERROR(IF(Table1[[#This Row],[Type]]="IN",Table1[[#This Row],[RC Date]]-Table1[[#This Row],[Posting Date]],""),"")</f>
        <v/>
      </c>
      <c r="N157">
        <f>IFERROR(IF(Table1[[#This Row],[Balance Due (LC)]]&lt;&gt;0,$S$1-L157,0),"")</f>
        <v>0</v>
      </c>
      <c r="O157" t="str">
        <f>IFERROR(IF(Table1[[#This Row],[Type]]="IN",Table1[[#This Row],[C/D (LC)]],IF(Table1[[#This Row],[Type]]="CN",Table1[[#This Row],[C/D (LC)]],"")),"")</f>
        <v/>
      </c>
      <c r="P157" t="str">
        <f>VLOOKUP(Table1[[#This Row],[Cust '#]],ClientInfo!$A:$B,2,0)</f>
        <v>Client_03</v>
      </c>
    </row>
    <row r="158" spans="1:16">
      <c r="A158" t="s">
        <v>109</v>
      </c>
      <c r="B158" t="s">
        <v>10</v>
      </c>
      <c r="C158">
        <v>700000024</v>
      </c>
      <c r="D158" s="1">
        <v>45307</v>
      </c>
      <c r="E158">
        <v>161.6</v>
      </c>
      <c r="F158">
        <v>0</v>
      </c>
      <c r="G158">
        <v>700000024</v>
      </c>
      <c r="H158" s="1">
        <v>45307</v>
      </c>
      <c r="I158">
        <f>YEAR(Table1[[#This Row],[Posting Date]])</f>
        <v>2024</v>
      </c>
      <c r="J158">
        <f>MONTH(Table1[[#This Row],[Posting Date]])</f>
        <v>1</v>
      </c>
      <c r="K158" t="str">
        <f>IF(Table1[[#This Row],[Type]]="IN",VLOOKUP(Table1[[#This Row],[Cust '#]],ClientInfo!$A:$D,4,0),"")</f>
        <v/>
      </c>
      <c r="L158" s="1" t="str">
        <f>IF(K158="NET30",Table1[[#This Row],[Posting Date]]+30,IF(K158="NET15",Table1[[#This Row],[Posting Date]]+15,IF(K158="COD",Table1[[#This Row],[Posting Date]],"")))</f>
        <v/>
      </c>
      <c r="M158" s="4" t="str">
        <f>IFERROR(IF(Table1[[#This Row],[Type]]="IN",Table1[[#This Row],[RC Date]]-Table1[[#This Row],[Posting Date]],""),"")</f>
        <v/>
      </c>
      <c r="N158">
        <f>IFERROR(IF(Table1[[#This Row],[Balance Due (LC)]]&lt;&gt;0,$S$1-L158,0),"")</f>
        <v>0</v>
      </c>
      <c r="O158" t="str">
        <f>IFERROR(IF(Table1[[#This Row],[Type]]="IN",Table1[[#This Row],[C/D (LC)]],IF(Table1[[#This Row],[Type]]="CN",Table1[[#This Row],[C/D (LC)]],"")),"")</f>
        <v/>
      </c>
      <c r="P158" t="str">
        <f>VLOOKUP(Table1[[#This Row],[Cust '#]],ClientInfo!$A:$B,2,0)</f>
        <v>Client_03</v>
      </c>
    </row>
    <row r="159" spans="1:16">
      <c r="A159" t="s">
        <v>109</v>
      </c>
      <c r="B159" t="s">
        <v>12</v>
      </c>
      <c r="C159">
        <v>140000033</v>
      </c>
      <c r="D159" s="1">
        <v>45321</v>
      </c>
      <c r="E159">
        <v>8226.1</v>
      </c>
      <c r="F159">
        <v>0</v>
      </c>
      <c r="G159">
        <v>700000277</v>
      </c>
      <c r="H159" s="1">
        <v>45379</v>
      </c>
      <c r="I159">
        <f>YEAR(Table1[[#This Row],[Posting Date]])</f>
        <v>2024</v>
      </c>
      <c r="J159">
        <f>MONTH(Table1[[#This Row],[Posting Date]])</f>
        <v>1</v>
      </c>
      <c r="K159" t="str">
        <f>IF(Table1[[#This Row],[Type]]="IN",VLOOKUP(Table1[[#This Row],[Cust '#]],ClientInfo!$A:$D,4,0),"")</f>
        <v>COD</v>
      </c>
      <c r="L159" s="1">
        <f>IF(K159="NET30",Table1[[#This Row],[Posting Date]]+30,IF(K159="NET15",Table1[[#This Row],[Posting Date]]+15,IF(K159="COD",Table1[[#This Row],[Posting Date]],"")))</f>
        <v>45321</v>
      </c>
      <c r="M159" s="4">
        <f>IFERROR(IF(Table1[[#This Row],[Type]]="IN",Table1[[#This Row],[RC Date]]-Table1[[#This Row],[Posting Date]],""),"")</f>
        <v>58</v>
      </c>
      <c r="N159">
        <f>IFERROR(IF(Table1[[#This Row],[Balance Due (LC)]]&lt;&gt;0,$S$1-L159,0),"")</f>
        <v>0</v>
      </c>
      <c r="O159">
        <f>IFERROR(IF(Table1[[#This Row],[Type]]="IN",Table1[[#This Row],[C/D (LC)]],IF(Table1[[#This Row],[Type]]="CN",Table1[[#This Row],[C/D (LC)]],"")),"")</f>
        <v>8226.1</v>
      </c>
      <c r="P159" t="str">
        <f>VLOOKUP(Table1[[#This Row],[Cust '#]],ClientInfo!$A:$B,2,0)</f>
        <v>Client_03</v>
      </c>
    </row>
    <row r="160" spans="1:16">
      <c r="A160" t="s">
        <v>109</v>
      </c>
      <c r="B160" t="s">
        <v>12</v>
      </c>
      <c r="C160">
        <v>140000034</v>
      </c>
      <c r="D160" s="1">
        <v>45349</v>
      </c>
      <c r="E160">
        <v>2900.5</v>
      </c>
      <c r="F160">
        <v>0</v>
      </c>
      <c r="G160">
        <v>700000509</v>
      </c>
      <c r="H160" s="1">
        <v>45412</v>
      </c>
      <c r="I160">
        <f>YEAR(Table1[[#This Row],[Posting Date]])</f>
        <v>2024</v>
      </c>
      <c r="J160">
        <f>MONTH(Table1[[#This Row],[Posting Date]])</f>
        <v>2</v>
      </c>
      <c r="K160" t="str">
        <f>IF(Table1[[#This Row],[Type]]="IN",VLOOKUP(Table1[[#This Row],[Cust '#]],ClientInfo!$A:$D,4,0),"")</f>
        <v>COD</v>
      </c>
      <c r="L160" s="1">
        <f>IF(K160="NET30",Table1[[#This Row],[Posting Date]]+30,IF(K160="NET15",Table1[[#This Row],[Posting Date]]+15,IF(K160="COD",Table1[[#This Row],[Posting Date]],"")))</f>
        <v>45349</v>
      </c>
      <c r="M160" s="4">
        <f>IFERROR(IF(Table1[[#This Row],[Type]]="IN",Table1[[#This Row],[RC Date]]-Table1[[#This Row],[Posting Date]],""),"")</f>
        <v>63</v>
      </c>
      <c r="N160">
        <f>IFERROR(IF(Table1[[#This Row],[Balance Due (LC)]]&lt;&gt;0,$S$1-L160,0),"")</f>
        <v>0</v>
      </c>
      <c r="O160">
        <f>IFERROR(IF(Table1[[#This Row],[Type]]="IN",Table1[[#This Row],[C/D (LC)]],IF(Table1[[#This Row],[Type]]="CN",Table1[[#This Row],[C/D (LC)]],"")),"")</f>
        <v>2900.5</v>
      </c>
      <c r="P160" t="str">
        <f>VLOOKUP(Table1[[#This Row],[Cust '#]],ClientInfo!$A:$B,2,0)</f>
        <v>Client_03</v>
      </c>
    </row>
    <row r="161" spans="1:16">
      <c r="A161" t="s">
        <v>109</v>
      </c>
      <c r="B161" t="s">
        <v>12</v>
      </c>
      <c r="C161">
        <v>140005518</v>
      </c>
      <c r="D161" s="1">
        <v>45377</v>
      </c>
      <c r="E161">
        <v>5885.6</v>
      </c>
      <c r="F161">
        <v>0</v>
      </c>
      <c r="G161">
        <v>700000509</v>
      </c>
      <c r="H161" s="1">
        <v>45412</v>
      </c>
      <c r="I161">
        <f>YEAR(Table1[[#This Row],[Posting Date]])</f>
        <v>2024</v>
      </c>
      <c r="J161">
        <f>MONTH(Table1[[#This Row],[Posting Date]])</f>
        <v>3</v>
      </c>
      <c r="K161" t="str">
        <f>IF(Table1[[#This Row],[Type]]="IN",VLOOKUP(Table1[[#This Row],[Cust '#]],ClientInfo!$A:$D,4,0),"")</f>
        <v>COD</v>
      </c>
      <c r="L161" s="1">
        <f>IF(K161="NET30",Table1[[#This Row],[Posting Date]]+30,IF(K161="NET15",Table1[[#This Row],[Posting Date]]+15,IF(K161="COD",Table1[[#This Row],[Posting Date]],"")))</f>
        <v>45377</v>
      </c>
      <c r="M161" s="4">
        <f>IFERROR(IF(Table1[[#This Row],[Type]]="IN",Table1[[#This Row],[RC Date]]-Table1[[#This Row],[Posting Date]],""),"")</f>
        <v>35</v>
      </c>
      <c r="N161">
        <f>IFERROR(IF(Table1[[#This Row],[Balance Due (LC)]]&lt;&gt;0,$S$1-L161,0),"")</f>
        <v>0</v>
      </c>
      <c r="O161">
        <f>IFERROR(IF(Table1[[#This Row],[Type]]="IN",Table1[[#This Row],[C/D (LC)]],IF(Table1[[#This Row],[Type]]="CN",Table1[[#This Row],[C/D (LC)]],"")),"")</f>
        <v>5885.6</v>
      </c>
      <c r="P161" t="str">
        <f>VLOOKUP(Table1[[#This Row],[Cust '#]],ClientInfo!$A:$B,2,0)</f>
        <v>Client_03</v>
      </c>
    </row>
    <row r="162" spans="1:16">
      <c r="A162" t="s">
        <v>109</v>
      </c>
      <c r="B162" t="s">
        <v>10</v>
      </c>
      <c r="C162">
        <v>700000277</v>
      </c>
      <c r="D162" s="1">
        <v>45379</v>
      </c>
      <c r="E162">
        <v>-8137.3</v>
      </c>
      <c r="F162">
        <v>0</v>
      </c>
      <c r="G162">
        <v>700000277</v>
      </c>
      <c r="H162" s="1">
        <v>45379</v>
      </c>
      <c r="I162">
        <f>YEAR(Table1[[#This Row],[Posting Date]])</f>
        <v>2024</v>
      </c>
      <c r="J162">
        <f>MONTH(Table1[[#This Row],[Posting Date]])</f>
        <v>3</v>
      </c>
      <c r="K162" t="str">
        <f>IF(Table1[[#This Row],[Type]]="IN",VLOOKUP(Table1[[#This Row],[Cust '#]],ClientInfo!$A:$D,4,0),"")</f>
        <v/>
      </c>
      <c r="L162" s="1" t="str">
        <f>IF(K162="NET30",Table1[[#This Row],[Posting Date]]+30,IF(K162="NET15",Table1[[#This Row],[Posting Date]]+15,IF(K162="COD",Table1[[#This Row],[Posting Date]],"")))</f>
        <v/>
      </c>
      <c r="M162" s="4" t="str">
        <f>IFERROR(IF(Table1[[#This Row],[Type]]="IN",Table1[[#This Row],[RC Date]]-Table1[[#This Row],[Posting Date]],""),"")</f>
        <v/>
      </c>
      <c r="N162">
        <f>IFERROR(IF(Table1[[#This Row],[Balance Due (LC)]]&lt;&gt;0,$S$1-L162,0),"")</f>
        <v>0</v>
      </c>
      <c r="O162" t="str">
        <f>IFERROR(IF(Table1[[#This Row],[Type]]="IN",Table1[[#This Row],[C/D (LC)]],IF(Table1[[#This Row],[Type]]="CN",Table1[[#This Row],[C/D (LC)]],"")),"")</f>
        <v/>
      </c>
      <c r="P162" t="str">
        <f>VLOOKUP(Table1[[#This Row],[Cust '#]],ClientInfo!$A:$B,2,0)</f>
        <v>Client_03</v>
      </c>
    </row>
    <row r="163" spans="1:16">
      <c r="A163" t="s">
        <v>109</v>
      </c>
      <c r="B163" t="s">
        <v>12</v>
      </c>
      <c r="C163">
        <v>140006147</v>
      </c>
      <c r="D163" s="1">
        <v>45391</v>
      </c>
      <c r="E163">
        <v>2222.66</v>
      </c>
      <c r="F163">
        <v>0</v>
      </c>
      <c r="G163">
        <v>700000795</v>
      </c>
      <c r="H163" s="1">
        <v>45447</v>
      </c>
      <c r="I163">
        <f>YEAR(Table1[[#This Row],[Posting Date]])</f>
        <v>2024</v>
      </c>
      <c r="J163">
        <f>MONTH(Table1[[#This Row],[Posting Date]])</f>
        <v>4</v>
      </c>
      <c r="K163" t="str">
        <f>IF(Table1[[#This Row],[Type]]="IN",VLOOKUP(Table1[[#This Row],[Cust '#]],ClientInfo!$A:$D,4,0),"")</f>
        <v>COD</v>
      </c>
      <c r="L163" s="1">
        <f>IF(K163="NET30",Table1[[#This Row],[Posting Date]]+30,IF(K163="NET15",Table1[[#This Row],[Posting Date]]+15,IF(K163="COD",Table1[[#This Row],[Posting Date]],"")))</f>
        <v>45391</v>
      </c>
      <c r="M163" s="4">
        <f>IFERROR(IF(Table1[[#This Row],[Type]]="IN",Table1[[#This Row],[RC Date]]-Table1[[#This Row],[Posting Date]],""),"")</f>
        <v>56</v>
      </c>
      <c r="N163">
        <f>IFERROR(IF(Table1[[#This Row],[Balance Due (LC)]]&lt;&gt;0,$S$1-L163,0),"")</f>
        <v>0</v>
      </c>
      <c r="O163">
        <f>IFERROR(IF(Table1[[#This Row],[Type]]="IN",Table1[[#This Row],[C/D (LC)]],IF(Table1[[#This Row],[Type]]="CN",Table1[[#This Row],[C/D (LC)]],"")),"")</f>
        <v>2222.66</v>
      </c>
      <c r="P163" t="str">
        <f>VLOOKUP(Table1[[#This Row],[Cust '#]],ClientInfo!$A:$B,2,0)</f>
        <v>Client_03</v>
      </c>
    </row>
    <row r="164" spans="1:16">
      <c r="A164" t="s">
        <v>109</v>
      </c>
      <c r="B164" t="s">
        <v>12</v>
      </c>
      <c r="C164">
        <v>140006804</v>
      </c>
      <c r="D164" s="1">
        <v>45405</v>
      </c>
      <c r="E164">
        <v>2353.6999999999998</v>
      </c>
      <c r="F164">
        <v>0</v>
      </c>
      <c r="G164">
        <v>700000795</v>
      </c>
      <c r="H164" s="1">
        <v>45447</v>
      </c>
      <c r="I164">
        <f>YEAR(Table1[[#This Row],[Posting Date]])</f>
        <v>2024</v>
      </c>
      <c r="J164">
        <f>MONTH(Table1[[#This Row],[Posting Date]])</f>
        <v>4</v>
      </c>
      <c r="K164" t="str">
        <f>IF(Table1[[#This Row],[Type]]="IN",VLOOKUP(Table1[[#This Row],[Cust '#]],ClientInfo!$A:$D,4,0),"")</f>
        <v>COD</v>
      </c>
      <c r="L164" s="1">
        <f>IF(K164="NET30",Table1[[#This Row],[Posting Date]]+30,IF(K164="NET15",Table1[[#This Row],[Posting Date]]+15,IF(K164="COD",Table1[[#This Row],[Posting Date]],"")))</f>
        <v>45405</v>
      </c>
      <c r="M164" s="4">
        <f>IFERROR(IF(Table1[[#This Row],[Type]]="IN",Table1[[#This Row],[RC Date]]-Table1[[#This Row],[Posting Date]],""),"")</f>
        <v>42</v>
      </c>
      <c r="N164">
        <f>IFERROR(IF(Table1[[#This Row],[Balance Due (LC)]]&lt;&gt;0,$S$1-L164,0),"")</f>
        <v>0</v>
      </c>
      <c r="O164">
        <f>IFERROR(IF(Table1[[#This Row],[Type]]="IN",Table1[[#This Row],[C/D (LC)]],IF(Table1[[#This Row],[Type]]="CN",Table1[[#This Row],[C/D (LC)]],"")),"")</f>
        <v>2353.6999999999998</v>
      </c>
      <c r="P164" t="str">
        <f>VLOOKUP(Table1[[#This Row],[Cust '#]],ClientInfo!$A:$B,2,0)</f>
        <v>Client_03</v>
      </c>
    </row>
    <row r="165" spans="1:16">
      <c r="A165" t="s">
        <v>109</v>
      </c>
      <c r="B165" t="s">
        <v>12</v>
      </c>
      <c r="C165">
        <v>140006815</v>
      </c>
      <c r="D165" s="1">
        <v>45405</v>
      </c>
      <c r="E165">
        <v>275.60000000000002</v>
      </c>
      <c r="F165">
        <v>0</v>
      </c>
      <c r="G165">
        <v>150000394</v>
      </c>
      <c r="H165" s="1">
        <v>45461</v>
      </c>
      <c r="I165">
        <f>YEAR(Table1[[#This Row],[Posting Date]])</f>
        <v>2024</v>
      </c>
      <c r="J165">
        <f>MONTH(Table1[[#This Row],[Posting Date]])</f>
        <v>4</v>
      </c>
      <c r="K165" t="str">
        <f>IF(Table1[[#This Row],[Type]]="IN",VLOOKUP(Table1[[#This Row],[Cust '#]],ClientInfo!$A:$D,4,0),"")</f>
        <v>COD</v>
      </c>
      <c r="L165" s="1">
        <f>IF(K165="NET30",Table1[[#This Row],[Posting Date]]+30,IF(K165="NET15",Table1[[#This Row],[Posting Date]]+15,IF(K165="COD",Table1[[#This Row],[Posting Date]],"")))</f>
        <v>45405</v>
      </c>
      <c r="M165" s="4">
        <f>IFERROR(IF(Table1[[#This Row],[Type]]="IN",Table1[[#This Row],[RC Date]]-Table1[[#This Row],[Posting Date]],""),"")</f>
        <v>56</v>
      </c>
      <c r="N165">
        <f>IFERROR(IF(Table1[[#This Row],[Balance Due (LC)]]&lt;&gt;0,$S$1-L165,0),"")</f>
        <v>0</v>
      </c>
      <c r="O165">
        <f>IFERROR(IF(Table1[[#This Row],[Type]]="IN",Table1[[#This Row],[C/D (LC)]],IF(Table1[[#This Row],[Type]]="CN",Table1[[#This Row],[C/D (LC)]],"")),"")</f>
        <v>275.60000000000002</v>
      </c>
      <c r="P165" t="str">
        <f>VLOOKUP(Table1[[#This Row],[Cust '#]],ClientInfo!$A:$B,2,0)</f>
        <v>Client_03</v>
      </c>
    </row>
    <row r="166" spans="1:16">
      <c r="A166" t="s">
        <v>109</v>
      </c>
      <c r="B166" t="s">
        <v>13</v>
      </c>
      <c r="C166">
        <v>150000286</v>
      </c>
      <c r="D166" s="1">
        <v>45408</v>
      </c>
      <c r="E166">
        <v>-114</v>
      </c>
      <c r="F166">
        <v>0</v>
      </c>
      <c r="H166" s="1" t="s">
        <v>14</v>
      </c>
      <c r="I166">
        <f>YEAR(Table1[[#This Row],[Posting Date]])</f>
        <v>2024</v>
      </c>
      <c r="J166">
        <f>MONTH(Table1[[#This Row],[Posting Date]])</f>
        <v>4</v>
      </c>
      <c r="K166" t="str">
        <f>IF(Table1[[#This Row],[Type]]="IN",VLOOKUP(Table1[[#This Row],[Cust '#]],ClientInfo!$A:$D,4,0),"")</f>
        <v/>
      </c>
      <c r="L166" s="1" t="str">
        <f>IF(K166="NET30",Table1[[#This Row],[Posting Date]]+30,IF(K166="NET15",Table1[[#This Row],[Posting Date]]+15,IF(K166="COD",Table1[[#This Row],[Posting Date]],"")))</f>
        <v/>
      </c>
      <c r="M166" s="4" t="str">
        <f>IFERROR(IF(Table1[[#This Row],[Type]]="IN",Table1[[#This Row],[RC Date]]-Table1[[#This Row],[Posting Date]],""),"")</f>
        <v/>
      </c>
      <c r="N166">
        <f>IFERROR(IF(Table1[[#This Row],[Balance Due (LC)]]&lt;&gt;0,$S$1-L166,0),"")</f>
        <v>0</v>
      </c>
      <c r="O166">
        <f>IFERROR(IF(Table1[[#This Row],[Type]]="IN",Table1[[#This Row],[C/D (LC)]],IF(Table1[[#This Row],[Type]]="CN",Table1[[#This Row],[C/D (LC)]],"")),"")</f>
        <v>-114</v>
      </c>
      <c r="P166" t="str">
        <f>VLOOKUP(Table1[[#This Row],[Cust '#]],ClientInfo!$A:$B,2,0)</f>
        <v>Client_03</v>
      </c>
    </row>
    <row r="167" spans="1:16">
      <c r="A167" t="s">
        <v>109</v>
      </c>
      <c r="B167" t="s">
        <v>10</v>
      </c>
      <c r="C167">
        <v>700000509</v>
      </c>
      <c r="D167" s="1">
        <v>45412</v>
      </c>
      <c r="E167">
        <v>-8786.1</v>
      </c>
      <c r="F167">
        <v>0</v>
      </c>
      <c r="G167">
        <v>700000509</v>
      </c>
      <c r="H167" s="1">
        <v>45412</v>
      </c>
      <c r="I167">
        <f>YEAR(Table1[[#This Row],[Posting Date]])</f>
        <v>2024</v>
      </c>
      <c r="J167">
        <f>MONTH(Table1[[#This Row],[Posting Date]])</f>
        <v>4</v>
      </c>
      <c r="K167" t="str">
        <f>IF(Table1[[#This Row],[Type]]="IN",VLOOKUP(Table1[[#This Row],[Cust '#]],ClientInfo!$A:$D,4,0),"")</f>
        <v/>
      </c>
      <c r="L167" s="1" t="str">
        <f>IF(K167="NET30",Table1[[#This Row],[Posting Date]]+30,IF(K167="NET15",Table1[[#This Row],[Posting Date]]+15,IF(K167="COD",Table1[[#This Row],[Posting Date]],"")))</f>
        <v/>
      </c>
      <c r="M167" s="4" t="str">
        <f>IFERROR(IF(Table1[[#This Row],[Type]]="IN",Table1[[#This Row],[RC Date]]-Table1[[#This Row],[Posting Date]],""),"")</f>
        <v/>
      </c>
      <c r="N167">
        <f>IFERROR(IF(Table1[[#This Row],[Balance Due (LC)]]&lt;&gt;0,$S$1-L167,0),"")</f>
        <v>0</v>
      </c>
      <c r="O167" t="str">
        <f>IFERROR(IF(Table1[[#This Row],[Type]]="IN",Table1[[#This Row],[C/D (LC)]],IF(Table1[[#This Row],[Type]]="CN",Table1[[#This Row],[C/D (LC)]],"")),"")</f>
        <v/>
      </c>
      <c r="P167" t="str">
        <f>VLOOKUP(Table1[[#This Row],[Cust '#]],ClientInfo!$A:$B,2,0)</f>
        <v>Client_03</v>
      </c>
    </row>
    <row r="168" spans="1:16">
      <c r="A168" t="s">
        <v>109</v>
      </c>
      <c r="B168" t="s">
        <v>12</v>
      </c>
      <c r="C168">
        <v>140007475</v>
      </c>
      <c r="D168" s="1">
        <v>45419</v>
      </c>
      <c r="E168">
        <v>3951.48</v>
      </c>
      <c r="F168">
        <v>0</v>
      </c>
      <c r="G168">
        <v>700001227</v>
      </c>
      <c r="H168" s="1">
        <v>45505</v>
      </c>
      <c r="I168">
        <f>YEAR(Table1[[#This Row],[Posting Date]])</f>
        <v>2024</v>
      </c>
      <c r="J168">
        <f>MONTH(Table1[[#This Row],[Posting Date]])</f>
        <v>5</v>
      </c>
      <c r="K168" t="str">
        <f>IF(Table1[[#This Row],[Type]]="IN",VLOOKUP(Table1[[#This Row],[Cust '#]],ClientInfo!$A:$D,4,0),"")</f>
        <v>COD</v>
      </c>
      <c r="L168" s="1">
        <f>IF(K168="NET30",Table1[[#This Row],[Posting Date]]+30,IF(K168="NET15",Table1[[#This Row],[Posting Date]]+15,IF(K168="COD",Table1[[#This Row],[Posting Date]],"")))</f>
        <v>45419</v>
      </c>
      <c r="M168" s="4">
        <f>IFERROR(IF(Table1[[#This Row],[Type]]="IN",Table1[[#This Row],[RC Date]]-Table1[[#This Row],[Posting Date]],""),"")</f>
        <v>86</v>
      </c>
      <c r="N168">
        <f>IFERROR(IF(Table1[[#This Row],[Balance Due (LC)]]&lt;&gt;0,$S$1-L168,0),"")</f>
        <v>0</v>
      </c>
      <c r="O168">
        <f>IFERROR(IF(Table1[[#This Row],[Type]]="IN",Table1[[#This Row],[C/D (LC)]],IF(Table1[[#This Row],[Type]]="CN",Table1[[#This Row],[C/D (LC)]],"")),"")</f>
        <v>3951.48</v>
      </c>
      <c r="P168" t="str">
        <f>VLOOKUP(Table1[[#This Row],[Cust '#]],ClientInfo!$A:$B,2,0)</f>
        <v>Client_03</v>
      </c>
    </row>
    <row r="169" spans="1:16">
      <c r="A169" t="s">
        <v>109</v>
      </c>
      <c r="B169" t="s">
        <v>10</v>
      </c>
      <c r="C169">
        <v>700000673</v>
      </c>
      <c r="D169" s="1">
        <v>45432</v>
      </c>
      <c r="E169">
        <v>-3440.75</v>
      </c>
      <c r="F169">
        <v>0</v>
      </c>
      <c r="G169">
        <v>700000673</v>
      </c>
      <c r="H169" s="1">
        <v>45432</v>
      </c>
      <c r="I169">
        <f>YEAR(Table1[[#This Row],[Posting Date]])</f>
        <v>2024</v>
      </c>
      <c r="J169">
        <f>MONTH(Table1[[#This Row],[Posting Date]])</f>
        <v>5</v>
      </c>
      <c r="K169" t="str">
        <f>IF(Table1[[#This Row],[Type]]="IN",VLOOKUP(Table1[[#This Row],[Cust '#]],ClientInfo!$A:$D,4,0),"")</f>
        <v/>
      </c>
      <c r="L169" s="1" t="str">
        <f>IF(K169="NET30",Table1[[#This Row],[Posting Date]]+30,IF(K169="NET15",Table1[[#This Row],[Posting Date]]+15,IF(K169="COD",Table1[[#This Row],[Posting Date]],"")))</f>
        <v/>
      </c>
      <c r="M169" s="4" t="str">
        <f>IFERROR(IF(Table1[[#This Row],[Type]]="IN",Table1[[#This Row],[RC Date]]-Table1[[#This Row],[Posting Date]],""),"")</f>
        <v/>
      </c>
      <c r="N169">
        <f>IFERROR(IF(Table1[[#This Row],[Balance Due (LC)]]&lt;&gt;0,$S$1-L169,0),"")</f>
        <v>0</v>
      </c>
      <c r="O169" t="str">
        <f>IFERROR(IF(Table1[[#This Row],[Type]]="IN",Table1[[#This Row],[C/D (LC)]],IF(Table1[[#This Row],[Type]]="CN",Table1[[#This Row],[C/D (LC)]],"")),"")</f>
        <v/>
      </c>
      <c r="P169" t="str">
        <f>VLOOKUP(Table1[[#This Row],[Cust '#]],ClientInfo!$A:$B,2,0)</f>
        <v>Client_03</v>
      </c>
    </row>
    <row r="170" spans="1:16">
      <c r="A170" t="s">
        <v>109</v>
      </c>
      <c r="B170" t="s">
        <v>12</v>
      </c>
      <c r="C170">
        <v>140008124</v>
      </c>
      <c r="D170" s="1">
        <v>45433</v>
      </c>
      <c r="E170">
        <v>4127.3</v>
      </c>
      <c r="F170">
        <v>0</v>
      </c>
      <c r="G170">
        <v>700001265</v>
      </c>
      <c r="H170" s="1">
        <v>45511</v>
      </c>
      <c r="I170">
        <f>YEAR(Table1[[#This Row],[Posting Date]])</f>
        <v>2024</v>
      </c>
      <c r="J170">
        <f>MONTH(Table1[[#This Row],[Posting Date]])</f>
        <v>5</v>
      </c>
      <c r="K170" t="str">
        <f>IF(Table1[[#This Row],[Type]]="IN",VLOOKUP(Table1[[#This Row],[Cust '#]],ClientInfo!$A:$D,4,0),"")</f>
        <v>COD</v>
      </c>
      <c r="L170" s="1">
        <f>IF(K170="NET30",Table1[[#This Row],[Posting Date]]+30,IF(K170="NET15",Table1[[#This Row],[Posting Date]]+15,IF(K170="COD",Table1[[#This Row],[Posting Date]],"")))</f>
        <v>45433</v>
      </c>
      <c r="M170" s="4">
        <f>IFERROR(IF(Table1[[#This Row],[Type]]="IN",Table1[[#This Row],[RC Date]]-Table1[[#This Row],[Posting Date]],""),"")</f>
        <v>78</v>
      </c>
      <c r="N170">
        <f>IFERROR(IF(Table1[[#This Row],[Balance Due (LC)]]&lt;&gt;0,$S$1-L170,0),"")</f>
        <v>0</v>
      </c>
      <c r="O170">
        <f>IFERROR(IF(Table1[[#This Row],[Type]]="IN",Table1[[#This Row],[C/D (LC)]],IF(Table1[[#This Row],[Type]]="CN",Table1[[#This Row],[C/D (LC)]],"")),"")</f>
        <v>4127.3</v>
      </c>
      <c r="P170" t="str">
        <f>VLOOKUP(Table1[[#This Row],[Cust '#]],ClientInfo!$A:$B,2,0)</f>
        <v>Client_03</v>
      </c>
    </row>
    <row r="171" spans="1:16">
      <c r="A171" t="s">
        <v>109</v>
      </c>
      <c r="B171" t="s">
        <v>13</v>
      </c>
      <c r="C171">
        <v>150000362</v>
      </c>
      <c r="D171" s="1">
        <v>45442</v>
      </c>
      <c r="E171">
        <v>-148.80000000000001</v>
      </c>
      <c r="F171">
        <v>0</v>
      </c>
      <c r="G171">
        <v>150000362</v>
      </c>
      <c r="H171" s="1">
        <v>45442</v>
      </c>
      <c r="I171">
        <f>YEAR(Table1[[#This Row],[Posting Date]])</f>
        <v>2024</v>
      </c>
      <c r="J171">
        <f>MONTH(Table1[[#This Row],[Posting Date]])</f>
        <v>5</v>
      </c>
      <c r="K171" t="str">
        <f>IF(Table1[[#This Row],[Type]]="IN",VLOOKUP(Table1[[#This Row],[Cust '#]],ClientInfo!$A:$D,4,0),"")</f>
        <v/>
      </c>
      <c r="L171" s="1" t="str">
        <f>IF(K171="NET30",Table1[[#This Row],[Posting Date]]+30,IF(K171="NET15",Table1[[#This Row],[Posting Date]]+15,IF(K171="COD",Table1[[#This Row],[Posting Date]],"")))</f>
        <v/>
      </c>
      <c r="M171" s="4" t="str">
        <f>IFERROR(IF(Table1[[#This Row],[Type]]="IN",Table1[[#This Row],[RC Date]]-Table1[[#This Row],[Posting Date]],""),"")</f>
        <v/>
      </c>
      <c r="N171">
        <f>IFERROR(IF(Table1[[#This Row],[Balance Due (LC)]]&lt;&gt;0,$S$1-L171,0),"")</f>
        <v>0</v>
      </c>
      <c r="O171">
        <f>IFERROR(IF(Table1[[#This Row],[Type]]="IN",Table1[[#This Row],[C/D (LC)]],IF(Table1[[#This Row],[Type]]="CN",Table1[[#This Row],[C/D (LC)]],"")),"")</f>
        <v>-148.80000000000001</v>
      </c>
      <c r="P171" t="str">
        <f>VLOOKUP(Table1[[#This Row],[Cust '#]],ClientInfo!$A:$B,2,0)</f>
        <v>Client_03</v>
      </c>
    </row>
    <row r="172" spans="1:16">
      <c r="A172" t="s">
        <v>109</v>
      </c>
      <c r="B172" t="s">
        <v>12</v>
      </c>
      <c r="C172">
        <v>140008778</v>
      </c>
      <c r="D172" s="1">
        <v>45447</v>
      </c>
      <c r="E172">
        <v>4705.99</v>
      </c>
      <c r="F172">
        <v>0</v>
      </c>
      <c r="G172">
        <v>700001645</v>
      </c>
      <c r="H172" s="1">
        <v>45558</v>
      </c>
      <c r="I172">
        <f>YEAR(Table1[[#This Row],[Posting Date]])</f>
        <v>2024</v>
      </c>
      <c r="J172">
        <f>MONTH(Table1[[#This Row],[Posting Date]])</f>
        <v>6</v>
      </c>
      <c r="K172" t="str">
        <f>IF(Table1[[#This Row],[Type]]="IN",VLOOKUP(Table1[[#This Row],[Cust '#]],ClientInfo!$A:$D,4,0),"")</f>
        <v>COD</v>
      </c>
      <c r="L172" s="1">
        <f>IF(K172="NET30",Table1[[#This Row],[Posting Date]]+30,IF(K172="NET15",Table1[[#This Row],[Posting Date]]+15,IF(K172="COD",Table1[[#This Row],[Posting Date]],"")))</f>
        <v>45447</v>
      </c>
      <c r="M172" s="4">
        <f>IFERROR(IF(Table1[[#This Row],[Type]]="IN",Table1[[#This Row],[RC Date]]-Table1[[#This Row],[Posting Date]],""),"")</f>
        <v>111</v>
      </c>
      <c r="N172">
        <f>IFERROR(IF(Table1[[#This Row],[Balance Due (LC)]]&lt;&gt;0,$S$1-L172,0),"")</f>
        <v>0</v>
      </c>
      <c r="O172">
        <f>IFERROR(IF(Table1[[#This Row],[Type]]="IN",Table1[[#This Row],[C/D (LC)]],IF(Table1[[#This Row],[Type]]="CN",Table1[[#This Row],[C/D (LC)]],"")),"")</f>
        <v>4705.99</v>
      </c>
      <c r="P172" t="str">
        <f>VLOOKUP(Table1[[#This Row],[Cust '#]],ClientInfo!$A:$B,2,0)</f>
        <v>Client_03</v>
      </c>
    </row>
    <row r="173" spans="1:16">
      <c r="A173" t="s">
        <v>109</v>
      </c>
      <c r="B173" t="s">
        <v>10</v>
      </c>
      <c r="C173">
        <v>700000795</v>
      </c>
      <c r="D173" s="1">
        <v>45447</v>
      </c>
      <c r="E173">
        <v>-4677.66</v>
      </c>
      <c r="F173">
        <v>0</v>
      </c>
      <c r="G173">
        <v>700000795</v>
      </c>
      <c r="H173" s="1">
        <v>45447</v>
      </c>
      <c r="I173">
        <f>YEAR(Table1[[#This Row],[Posting Date]])</f>
        <v>2024</v>
      </c>
      <c r="J173">
        <f>MONTH(Table1[[#This Row],[Posting Date]])</f>
        <v>6</v>
      </c>
      <c r="K173" t="str">
        <f>IF(Table1[[#This Row],[Type]]="IN",VLOOKUP(Table1[[#This Row],[Cust '#]],ClientInfo!$A:$D,4,0),"")</f>
        <v/>
      </c>
      <c r="L173" s="1" t="str">
        <f>IF(K173="NET30",Table1[[#This Row],[Posting Date]]+30,IF(K173="NET15",Table1[[#This Row],[Posting Date]]+15,IF(K173="COD",Table1[[#This Row],[Posting Date]],"")))</f>
        <v/>
      </c>
      <c r="M173" s="4" t="str">
        <f>IFERROR(IF(Table1[[#This Row],[Type]]="IN",Table1[[#This Row],[RC Date]]-Table1[[#This Row],[Posting Date]],""),"")</f>
        <v/>
      </c>
      <c r="N173">
        <f>IFERROR(IF(Table1[[#This Row],[Balance Due (LC)]]&lt;&gt;0,$S$1-L173,0),"")</f>
        <v>0</v>
      </c>
      <c r="O173" t="str">
        <f>IFERROR(IF(Table1[[#This Row],[Type]]="IN",Table1[[#This Row],[C/D (LC)]],IF(Table1[[#This Row],[Type]]="CN",Table1[[#This Row],[C/D (LC)]],"")),"")</f>
        <v/>
      </c>
      <c r="P173" t="str">
        <f>VLOOKUP(Table1[[#This Row],[Cust '#]],ClientInfo!$A:$B,2,0)</f>
        <v>Client_03</v>
      </c>
    </row>
    <row r="174" spans="1:16">
      <c r="A174" t="s">
        <v>109</v>
      </c>
      <c r="B174" t="s">
        <v>12</v>
      </c>
      <c r="C174">
        <v>140009391</v>
      </c>
      <c r="D174" s="1">
        <v>45461</v>
      </c>
      <c r="E174">
        <v>2237.6999999999998</v>
      </c>
      <c r="F174">
        <v>0</v>
      </c>
      <c r="G174">
        <v>700001678</v>
      </c>
      <c r="H174" s="1">
        <v>45561</v>
      </c>
      <c r="I174">
        <f>YEAR(Table1[[#This Row],[Posting Date]])</f>
        <v>2024</v>
      </c>
      <c r="J174">
        <f>MONTH(Table1[[#This Row],[Posting Date]])</f>
        <v>6</v>
      </c>
      <c r="K174" t="str">
        <f>IF(Table1[[#This Row],[Type]]="IN",VLOOKUP(Table1[[#This Row],[Cust '#]],ClientInfo!$A:$D,4,0),"")</f>
        <v>COD</v>
      </c>
      <c r="L174" s="1">
        <f>IF(K174="NET30",Table1[[#This Row],[Posting Date]]+30,IF(K174="NET15",Table1[[#This Row],[Posting Date]]+15,IF(K174="COD",Table1[[#This Row],[Posting Date]],"")))</f>
        <v>45461</v>
      </c>
      <c r="M174" s="4">
        <f>IFERROR(IF(Table1[[#This Row],[Type]]="IN",Table1[[#This Row],[RC Date]]-Table1[[#This Row],[Posting Date]],""),"")</f>
        <v>100</v>
      </c>
      <c r="N174">
        <f>IFERROR(IF(Table1[[#This Row],[Balance Due (LC)]]&lt;&gt;0,$S$1-L174,0),"")</f>
        <v>0</v>
      </c>
      <c r="O174">
        <f>IFERROR(IF(Table1[[#This Row],[Type]]="IN",Table1[[#This Row],[C/D (LC)]],IF(Table1[[#This Row],[Type]]="CN",Table1[[#This Row],[C/D (LC)]],"")),"")</f>
        <v>2237.6999999999998</v>
      </c>
      <c r="P174" t="str">
        <f>VLOOKUP(Table1[[#This Row],[Cust '#]],ClientInfo!$A:$B,2,0)</f>
        <v>Client_03</v>
      </c>
    </row>
    <row r="175" spans="1:16">
      <c r="A175" t="s">
        <v>109</v>
      </c>
      <c r="B175" t="s">
        <v>13</v>
      </c>
      <c r="C175">
        <v>150000394</v>
      </c>
      <c r="D175" s="1">
        <v>45461</v>
      </c>
      <c r="E175">
        <v>-282.89999999999998</v>
      </c>
      <c r="F175">
        <v>0</v>
      </c>
      <c r="G175">
        <v>150000394</v>
      </c>
      <c r="H175" s="1">
        <v>45461</v>
      </c>
      <c r="I175">
        <f>YEAR(Table1[[#This Row],[Posting Date]])</f>
        <v>2024</v>
      </c>
      <c r="J175">
        <f>MONTH(Table1[[#This Row],[Posting Date]])</f>
        <v>6</v>
      </c>
      <c r="K175" t="str">
        <f>IF(Table1[[#This Row],[Type]]="IN",VLOOKUP(Table1[[#This Row],[Cust '#]],ClientInfo!$A:$D,4,0),"")</f>
        <v/>
      </c>
      <c r="L175" s="1" t="str">
        <f>IF(K175="NET30",Table1[[#This Row],[Posting Date]]+30,IF(K175="NET15",Table1[[#This Row],[Posting Date]]+15,IF(K175="COD",Table1[[#This Row],[Posting Date]],"")))</f>
        <v/>
      </c>
      <c r="M175" s="4" t="str">
        <f>IFERROR(IF(Table1[[#This Row],[Type]]="IN",Table1[[#This Row],[RC Date]]-Table1[[#This Row],[Posting Date]],""),"")</f>
        <v/>
      </c>
      <c r="N175">
        <f>IFERROR(IF(Table1[[#This Row],[Balance Due (LC)]]&lt;&gt;0,$S$1-L175,0),"")</f>
        <v>0</v>
      </c>
      <c r="O175">
        <f>IFERROR(IF(Table1[[#This Row],[Type]]="IN",Table1[[#This Row],[C/D (LC)]],IF(Table1[[#This Row],[Type]]="CN",Table1[[#This Row],[C/D (LC)]],"")),"")</f>
        <v>-282.89999999999998</v>
      </c>
      <c r="P175" t="str">
        <f>VLOOKUP(Table1[[#This Row],[Cust '#]],ClientInfo!$A:$B,2,0)</f>
        <v>Client_03</v>
      </c>
    </row>
    <row r="176" spans="1:16">
      <c r="A176" t="s">
        <v>109</v>
      </c>
      <c r="B176" t="s">
        <v>12</v>
      </c>
      <c r="C176">
        <v>140010032</v>
      </c>
      <c r="D176" s="1">
        <v>45475</v>
      </c>
      <c r="E176">
        <v>1634.84</v>
      </c>
      <c r="F176">
        <v>0</v>
      </c>
      <c r="G176">
        <v>700001841</v>
      </c>
      <c r="H176" s="1">
        <v>45586</v>
      </c>
      <c r="I176">
        <f>YEAR(Table1[[#This Row],[Posting Date]])</f>
        <v>2024</v>
      </c>
      <c r="J176">
        <f>MONTH(Table1[[#This Row],[Posting Date]])</f>
        <v>7</v>
      </c>
      <c r="K176" t="str">
        <f>IF(Table1[[#This Row],[Type]]="IN",VLOOKUP(Table1[[#This Row],[Cust '#]],ClientInfo!$A:$D,4,0),"")</f>
        <v>COD</v>
      </c>
      <c r="L176" s="1">
        <f>IF(K176="NET30",Table1[[#This Row],[Posting Date]]+30,IF(K176="NET15",Table1[[#This Row],[Posting Date]]+15,IF(K176="COD",Table1[[#This Row],[Posting Date]],"")))</f>
        <v>45475</v>
      </c>
      <c r="M176" s="4">
        <f>IFERROR(IF(Table1[[#This Row],[Type]]="IN",Table1[[#This Row],[RC Date]]-Table1[[#This Row],[Posting Date]],""),"")</f>
        <v>111</v>
      </c>
      <c r="N176">
        <f>IFERROR(IF(Table1[[#This Row],[Balance Due (LC)]]&lt;&gt;0,$S$1-L176,0),"")</f>
        <v>0</v>
      </c>
      <c r="O176">
        <f>IFERROR(IF(Table1[[#This Row],[Type]]="IN",Table1[[#This Row],[C/D (LC)]],IF(Table1[[#This Row],[Type]]="CN",Table1[[#This Row],[C/D (LC)]],"")),"")</f>
        <v>1634.84</v>
      </c>
      <c r="P176" t="str">
        <f>VLOOKUP(Table1[[#This Row],[Cust '#]],ClientInfo!$A:$B,2,0)</f>
        <v>Client_03</v>
      </c>
    </row>
    <row r="177" spans="1:16">
      <c r="A177" t="s">
        <v>109</v>
      </c>
      <c r="B177" t="s">
        <v>12</v>
      </c>
      <c r="C177">
        <v>140010654</v>
      </c>
      <c r="D177" s="1">
        <v>45489</v>
      </c>
      <c r="E177">
        <v>1395.6</v>
      </c>
      <c r="F177">
        <v>0</v>
      </c>
      <c r="G177">
        <v>700001137</v>
      </c>
      <c r="H177" s="1">
        <v>45491</v>
      </c>
      <c r="I177">
        <f>YEAR(Table1[[#This Row],[Posting Date]])</f>
        <v>2024</v>
      </c>
      <c r="J177">
        <f>MONTH(Table1[[#This Row],[Posting Date]])</f>
        <v>7</v>
      </c>
      <c r="K177" t="str">
        <f>IF(Table1[[#This Row],[Type]]="IN",VLOOKUP(Table1[[#This Row],[Cust '#]],ClientInfo!$A:$D,4,0),"")</f>
        <v>COD</v>
      </c>
      <c r="L177" s="1">
        <f>IF(K177="NET30",Table1[[#This Row],[Posting Date]]+30,IF(K177="NET15",Table1[[#This Row],[Posting Date]]+15,IF(K177="COD",Table1[[#This Row],[Posting Date]],"")))</f>
        <v>45489</v>
      </c>
      <c r="M177" s="4">
        <f>IFERROR(IF(Table1[[#This Row],[Type]]="IN",Table1[[#This Row],[RC Date]]-Table1[[#This Row],[Posting Date]],""),"")</f>
        <v>2</v>
      </c>
      <c r="N177">
        <f>IFERROR(IF(Table1[[#This Row],[Balance Due (LC)]]&lt;&gt;0,$S$1-L177,0),"")</f>
        <v>0</v>
      </c>
      <c r="O177">
        <f>IFERROR(IF(Table1[[#This Row],[Type]]="IN",Table1[[#This Row],[C/D (LC)]],IF(Table1[[#This Row],[Type]]="CN",Table1[[#This Row],[C/D (LC)]],"")),"")</f>
        <v>1395.6</v>
      </c>
      <c r="P177" t="str">
        <f>VLOOKUP(Table1[[#This Row],[Cust '#]],ClientInfo!$A:$B,2,0)</f>
        <v>Client_03</v>
      </c>
    </row>
    <row r="178" spans="1:16">
      <c r="A178" t="s">
        <v>109</v>
      </c>
      <c r="B178" t="s">
        <v>10</v>
      </c>
      <c r="C178">
        <v>700001137</v>
      </c>
      <c r="D178" s="1">
        <v>45491</v>
      </c>
      <c r="E178">
        <v>-1395.6</v>
      </c>
      <c r="F178">
        <v>0</v>
      </c>
      <c r="G178">
        <v>700001137</v>
      </c>
      <c r="H178" s="1">
        <v>45491</v>
      </c>
      <c r="I178">
        <f>YEAR(Table1[[#This Row],[Posting Date]])</f>
        <v>2024</v>
      </c>
      <c r="J178">
        <f>MONTH(Table1[[#This Row],[Posting Date]])</f>
        <v>7</v>
      </c>
      <c r="K178" t="str">
        <f>IF(Table1[[#This Row],[Type]]="IN",VLOOKUP(Table1[[#This Row],[Cust '#]],ClientInfo!$A:$D,4,0),"")</f>
        <v/>
      </c>
      <c r="L178" s="1" t="str">
        <f>IF(K178="NET30",Table1[[#This Row],[Posting Date]]+30,IF(K178="NET15",Table1[[#This Row],[Posting Date]]+15,IF(K178="COD",Table1[[#This Row],[Posting Date]],"")))</f>
        <v/>
      </c>
      <c r="M178" s="4" t="str">
        <f>IFERROR(IF(Table1[[#This Row],[Type]]="IN",Table1[[#This Row],[RC Date]]-Table1[[#This Row],[Posting Date]],""),"")</f>
        <v/>
      </c>
      <c r="N178">
        <f>IFERROR(IF(Table1[[#This Row],[Balance Due (LC)]]&lt;&gt;0,$S$1-L178,0),"")</f>
        <v>0</v>
      </c>
      <c r="O178" t="str">
        <f>IFERROR(IF(Table1[[#This Row],[Type]]="IN",Table1[[#This Row],[C/D (LC)]],IF(Table1[[#This Row],[Type]]="CN",Table1[[#This Row],[C/D (LC)]],"")),"")</f>
        <v/>
      </c>
      <c r="P178" t="str">
        <f>VLOOKUP(Table1[[#This Row],[Cust '#]],ClientInfo!$A:$B,2,0)</f>
        <v>Client_03</v>
      </c>
    </row>
    <row r="179" spans="1:16">
      <c r="A179" t="s">
        <v>109</v>
      </c>
      <c r="B179" t="s">
        <v>12</v>
      </c>
      <c r="C179">
        <v>140011292</v>
      </c>
      <c r="D179" s="1">
        <v>45503</v>
      </c>
      <c r="E179">
        <v>2039.1</v>
      </c>
      <c r="F179">
        <v>0</v>
      </c>
      <c r="G179">
        <v>700001841</v>
      </c>
      <c r="H179" s="1">
        <v>45586</v>
      </c>
      <c r="I179">
        <f>YEAR(Table1[[#This Row],[Posting Date]])</f>
        <v>2024</v>
      </c>
      <c r="J179">
        <f>MONTH(Table1[[#This Row],[Posting Date]])</f>
        <v>7</v>
      </c>
      <c r="K179" t="str">
        <f>IF(Table1[[#This Row],[Type]]="IN",VLOOKUP(Table1[[#This Row],[Cust '#]],ClientInfo!$A:$D,4,0),"")</f>
        <v>COD</v>
      </c>
      <c r="L179" s="1">
        <f>IF(K179="NET30",Table1[[#This Row],[Posting Date]]+30,IF(K179="NET15",Table1[[#This Row],[Posting Date]]+15,IF(K179="COD",Table1[[#This Row],[Posting Date]],"")))</f>
        <v>45503</v>
      </c>
      <c r="M179" s="4">
        <f>IFERROR(IF(Table1[[#This Row],[Type]]="IN",Table1[[#This Row],[RC Date]]-Table1[[#This Row],[Posting Date]],""),"")</f>
        <v>83</v>
      </c>
      <c r="N179">
        <f>IFERROR(IF(Table1[[#This Row],[Balance Due (LC)]]&lt;&gt;0,$S$1-L179,0),"")</f>
        <v>0</v>
      </c>
      <c r="O179">
        <f>IFERROR(IF(Table1[[#This Row],[Type]]="IN",Table1[[#This Row],[C/D (LC)]],IF(Table1[[#This Row],[Type]]="CN",Table1[[#This Row],[C/D (LC)]],"")),"")</f>
        <v>2039.1</v>
      </c>
      <c r="P179" t="str">
        <f>VLOOKUP(Table1[[#This Row],[Cust '#]],ClientInfo!$A:$B,2,0)</f>
        <v>Client_03</v>
      </c>
    </row>
    <row r="180" spans="1:16">
      <c r="A180" t="s">
        <v>109</v>
      </c>
      <c r="B180" t="s">
        <v>10</v>
      </c>
      <c r="C180">
        <v>700001227</v>
      </c>
      <c r="D180" s="1">
        <v>45505</v>
      </c>
      <c r="E180">
        <v>-3951.48</v>
      </c>
      <c r="F180">
        <v>0</v>
      </c>
      <c r="G180">
        <v>700001227</v>
      </c>
      <c r="H180" s="1">
        <v>45505</v>
      </c>
      <c r="I180">
        <f>YEAR(Table1[[#This Row],[Posting Date]])</f>
        <v>2024</v>
      </c>
      <c r="J180">
        <f>MONTH(Table1[[#This Row],[Posting Date]])</f>
        <v>8</v>
      </c>
      <c r="K180" t="str">
        <f>IF(Table1[[#This Row],[Type]]="IN",VLOOKUP(Table1[[#This Row],[Cust '#]],ClientInfo!$A:$D,4,0),"")</f>
        <v/>
      </c>
      <c r="L180" s="1" t="str">
        <f>IF(K180="NET30",Table1[[#This Row],[Posting Date]]+30,IF(K180="NET15",Table1[[#This Row],[Posting Date]]+15,IF(K180="COD",Table1[[#This Row],[Posting Date]],"")))</f>
        <v/>
      </c>
      <c r="M180" s="4" t="str">
        <f>IFERROR(IF(Table1[[#This Row],[Type]]="IN",Table1[[#This Row],[RC Date]]-Table1[[#This Row],[Posting Date]],""),"")</f>
        <v/>
      </c>
      <c r="N180">
        <f>IFERROR(IF(Table1[[#This Row],[Balance Due (LC)]]&lt;&gt;0,$S$1-L180,0),"")</f>
        <v>0</v>
      </c>
      <c r="O180" t="str">
        <f>IFERROR(IF(Table1[[#This Row],[Type]]="IN",Table1[[#This Row],[C/D (LC)]],IF(Table1[[#This Row],[Type]]="CN",Table1[[#This Row],[C/D (LC)]],"")),"")</f>
        <v/>
      </c>
      <c r="P180" t="str">
        <f>VLOOKUP(Table1[[#This Row],[Cust '#]],ClientInfo!$A:$B,2,0)</f>
        <v>Client_03</v>
      </c>
    </row>
    <row r="181" spans="1:16">
      <c r="A181" t="s">
        <v>109</v>
      </c>
      <c r="B181" t="s">
        <v>10</v>
      </c>
      <c r="C181">
        <v>700001265</v>
      </c>
      <c r="D181" s="1">
        <v>45511</v>
      </c>
      <c r="E181">
        <v>-4127.3</v>
      </c>
      <c r="F181">
        <v>0</v>
      </c>
      <c r="G181">
        <v>700001265</v>
      </c>
      <c r="H181" s="1">
        <v>45511</v>
      </c>
      <c r="I181">
        <f>YEAR(Table1[[#This Row],[Posting Date]])</f>
        <v>2024</v>
      </c>
      <c r="J181">
        <f>MONTH(Table1[[#This Row],[Posting Date]])</f>
        <v>8</v>
      </c>
      <c r="K181" t="str">
        <f>IF(Table1[[#This Row],[Type]]="IN",VLOOKUP(Table1[[#This Row],[Cust '#]],ClientInfo!$A:$D,4,0),"")</f>
        <v/>
      </c>
      <c r="L181" s="1" t="str">
        <f>IF(K181="NET30",Table1[[#This Row],[Posting Date]]+30,IF(K181="NET15",Table1[[#This Row],[Posting Date]]+15,IF(K181="COD",Table1[[#This Row],[Posting Date]],"")))</f>
        <v/>
      </c>
      <c r="M181" s="4" t="str">
        <f>IFERROR(IF(Table1[[#This Row],[Type]]="IN",Table1[[#This Row],[RC Date]]-Table1[[#This Row],[Posting Date]],""),"")</f>
        <v/>
      </c>
      <c r="N181">
        <f>IFERROR(IF(Table1[[#This Row],[Balance Due (LC)]]&lt;&gt;0,$S$1-L181,0),"")</f>
        <v>0</v>
      </c>
      <c r="O181" t="str">
        <f>IFERROR(IF(Table1[[#This Row],[Type]]="IN",Table1[[#This Row],[C/D (LC)]],IF(Table1[[#This Row],[Type]]="CN",Table1[[#This Row],[C/D (LC)]],"")),"")</f>
        <v/>
      </c>
      <c r="P181" t="str">
        <f>VLOOKUP(Table1[[#This Row],[Cust '#]],ClientInfo!$A:$B,2,0)</f>
        <v>Client_03</v>
      </c>
    </row>
    <row r="182" spans="1:16">
      <c r="A182" t="s">
        <v>109</v>
      </c>
      <c r="B182" t="s">
        <v>11</v>
      </c>
      <c r="C182">
        <v>860057076</v>
      </c>
      <c r="D182" s="1">
        <v>45558</v>
      </c>
      <c r="E182">
        <v>-128.6</v>
      </c>
      <c r="F182">
        <v>0</v>
      </c>
      <c r="H182" s="1" t="s">
        <v>14</v>
      </c>
      <c r="I182">
        <f>YEAR(Table1[[#This Row],[Posting Date]])</f>
        <v>2024</v>
      </c>
      <c r="J182">
        <f>MONTH(Table1[[#This Row],[Posting Date]])</f>
        <v>9</v>
      </c>
      <c r="K182" t="str">
        <f>IF(Table1[[#This Row],[Type]]="IN",VLOOKUP(Table1[[#This Row],[Cust '#]],ClientInfo!$A:$D,4,0),"")</f>
        <v/>
      </c>
      <c r="L182" s="1" t="str">
        <f>IF(K182="NET30",Table1[[#This Row],[Posting Date]]+30,IF(K182="NET15",Table1[[#This Row],[Posting Date]]+15,IF(K182="COD",Table1[[#This Row],[Posting Date]],"")))</f>
        <v/>
      </c>
      <c r="M182" s="4" t="str">
        <f>IFERROR(IF(Table1[[#This Row],[Type]]="IN",Table1[[#This Row],[RC Date]]-Table1[[#This Row],[Posting Date]],""),"")</f>
        <v/>
      </c>
      <c r="N182">
        <f>IFERROR(IF(Table1[[#This Row],[Balance Due (LC)]]&lt;&gt;0,$S$1-L182,0),"")</f>
        <v>0</v>
      </c>
      <c r="O182" t="str">
        <f>IFERROR(IF(Table1[[#This Row],[Type]]="IN",Table1[[#This Row],[C/D (LC)]],IF(Table1[[#This Row],[Type]]="CN",Table1[[#This Row],[C/D (LC)]],"")),"")</f>
        <v/>
      </c>
      <c r="P182" t="str">
        <f>VLOOKUP(Table1[[#This Row],[Cust '#]],ClientInfo!$A:$B,2,0)</f>
        <v>Client_03</v>
      </c>
    </row>
    <row r="183" spans="1:16">
      <c r="A183" t="s">
        <v>109</v>
      </c>
      <c r="B183" t="s">
        <v>10</v>
      </c>
      <c r="C183">
        <v>700001645</v>
      </c>
      <c r="D183" s="1">
        <v>45558</v>
      </c>
      <c r="E183">
        <v>-4705.99</v>
      </c>
      <c r="F183">
        <v>0</v>
      </c>
      <c r="G183">
        <v>700001645</v>
      </c>
      <c r="H183" s="1">
        <v>45558</v>
      </c>
      <c r="I183">
        <f>YEAR(Table1[[#This Row],[Posting Date]])</f>
        <v>2024</v>
      </c>
      <c r="J183">
        <f>MONTH(Table1[[#This Row],[Posting Date]])</f>
        <v>9</v>
      </c>
      <c r="K183" t="str">
        <f>IF(Table1[[#This Row],[Type]]="IN",VLOOKUP(Table1[[#This Row],[Cust '#]],ClientInfo!$A:$D,4,0),"")</f>
        <v/>
      </c>
      <c r="L183" s="1" t="str">
        <f>IF(K183="NET30",Table1[[#This Row],[Posting Date]]+30,IF(K183="NET15",Table1[[#This Row],[Posting Date]]+15,IF(K183="COD",Table1[[#This Row],[Posting Date]],"")))</f>
        <v/>
      </c>
      <c r="M183" s="4" t="str">
        <f>IFERROR(IF(Table1[[#This Row],[Type]]="IN",Table1[[#This Row],[RC Date]]-Table1[[#This Row],[Posting Date]],""),"")</f>
        <v/>
      </c>
      <c r="N183">
        <f>IFERROR(IF(Table1[[#This Row],[Balance Due (LC)]]&lt;&gt;0,$S$1-L183,0),"")</f>
        <v>0</v>
      </c>
      <c r="O183" t="str">
        <f>IFERROR(IF(Table1[[#This Row],[Type]]="IN",Table1[[#This Row],[C/D (LC)]],IF(Table1[[#This Row],[Type]]="CN",Table1[[#This Row],[C/D (LC)]],"")),"")</f>
        <v/>
      </c>
      <c r="P183" t="str">
        <f>VLOOKUP(Table1[[#This Row],[Cust '#]],ClientInfo!$A:$B,2,0)</f>
        <v>Client_03</v>
      </c>
    </row>
    <row r="184" spans="1:16">
      <c r="A184" t="s">
        <v>109</v>
      </c>
      <c r="B184" t="s">
        <v>10</v>
      </c>
      <c r="C184">
        <v>700001678</v>
      </c>
      <c r="D184" s="1">
        <v>45561</v>
      </c>
      <c r="E184">
        <v>-2237.6999999999998</v>
      </c>
      <c r="F184">
        <v>0</v>
      </c>
      <c r="G184">
        <v>700001678</v>
      </c>
      <c r="H184" s="1">
        <v>45561</v>
      </c>
      <c r="I184">
        <f>YEAR(Table1[[#This Row],[Posting Date]])</f>
        <v>2024</v>
      </c>
      <c r="J184">
        <f>MONTH(Table1[[#This Row],[Posting Date]])</f>
        <v>9</v>
      </c>
      <c r="K184" t="str">
        <f>IF(Table1[[#This Row],[Type]]="IN",VLOOKUP(Table1[[#This Row],[Cust '#]],ClientInfo!$A:$D,4,0),"")</f>
        <v/>
      </c>
      <c r="L184" s="1" t="str">
        <f>IF(K184="NET30",Table1[[#This Row],[Posting Date]]+30,IF(K184="NET15",Table1[[#This Row],[Posting Date]]+15,IF(K184="COD",Table1[[#This Row],[Posting Date]],"")))</f>
        <v/>
      </c>
      <c r="M184" s="4" t="str">
        <f>IFERROR(IF(Table1[[#This Row],[Type]]="IN",Table1[[#This Row],[RC Date]]-Table1[[#This Row],[Posting Date]],""),"")</f>
        <v/>
      </c>
      <c r="N184">
        <f>IFERROR(IF(Table1[[#This Row],[Balance Due (LC)]]&lt;&gt;0,$S$1-L184,0),"")</f>
        <v>0</v>
      </c>
      <c r="O184" t="str">
        <f>IFERROR(IF(Table1[[#This Row],[Type]]="IN",Table1[[#This Row],[C/D (LC)]],IF(Table1[[#This Row],[Type]]="CN",Table1[[#This Row],[C/D (LC)]],"")),"")</f>
        <v/>
      </c>
      <c r="P184" t="str">
        <f>VLOOKUP(Table1[[#This Row],[Cust '#]],ClientInfo!$A:$B,2,0)</f>
        <v>Client_03</v>
      </c>
    </row>
    <row r="185" spans="1:16">
      <c r="A185" t="s">
        <v>109</v>
      </c>
      <c r="B185" t="s">
        <v>10</v>
      </c>
      <c r="C185">
        <v>700001841</v>
      </c>
      <c r="D185" s="1">
        <v>45586</v>
      </c>
      <c r="E185">
        <v>-3552.54</v>
      </c>
      <c r="F185">
        <v>0</v>
      </c>
      <c r="G185">
        <v>700001841</v>
      </c>
      <c r="H185" s="1">
        <v>45586</v>
      </c>
      <c r="I185">
        <f>YEAR(Table1[[#This Row],[Posting Date]])</f>
        <v>2024</v>
      </c>
      <c r="J185">
        <f>MONTH(Table1[[#This Row],[Posting Date]])</f>
        <v>10</v>
      </c>
      <c r="K185" t="str">
        <f>IF(Table1[[#This Row],[Type]]="IN",VLOOKUP(Table1[[#This Row],[Cust '#]],ClientInfo!$A:$D,4,0),"")</f>
        <v/>
      </c>
      <c r="L185" s="1" t="str">
        <f>IF(K185="NET30",Table1[[#This Row],[Posting Date]]+30,IF(K185="NET15",Table1[[#This Row],[Posting Date]]+15,IF(K185="COD",Table1[[#This Row],[Posting Date]],"")))</f>
        <v/>
      </c>
      <c r="M185" s="4" t="str">
        <f>IFERROR(IF(Table1[[#This Row],[Type]]="IN",Table1[[#This Row],[RC Date]]-Table1[[#This Row],[Posting Date]],""),"")</f>
        <v/>
      </c>
      <c r="N185">
        <f>IFERROR(IF(Table1[[#This Row],[Balance Due (LC)]]&lt;&gt;0,$S$1-L185,0),"")</f>
        <v>0</v>
      </c>
      <c r="O185" t="str">
        <f>IFERROR(IF(Table1[[#This Row],[Type]]="IN",Table1[[#This Row],[C/D (LC)]],IF(Table1[[#This Row],[Type]]="CN",Table1[[#This Row],[C/D (LC)]],"")),"")</f>
        <v/>
      </c>
      <c r="P185" t="str">
        <f>VLOOKUP(Table1[[#This Row],[Cust '#]],ClientInfo!$A:$B,2,0)</f>
        <v>Client_03</v>
      </c>
    </row>
    <row r="186" spans="1:16">
      <c r="A186" t="s">
        <v>109</v>
      </c>
      <c r="B186" t="s">
        <v>13</v>
      </c>
      <c r="C186">
        <v>150000675</v>
      </c>
      <c r="D186" s="1">
        <v>45596</v>
      </c>
      <c r="E186">
        <v>-35</v>
      </c>
      <c r="F186">
        <v>0</v>
      </c>
      <c r="H186" s="1" t="s">
        <v>14</v>
      </c>
      <c r="I186">
        <f>YEAR(Table1[[#This Row],[Posting Date]])</f>
        <v>2024</v>
      </c>
      <c r="J186">
        <f>MONTH(Table1[[#This Row],[Posting Date]])</f>
        <v>10</v>
      </c>
      <c r="K186" t="str">
        <f>IF(Table1[[#This Row],[Type]]="IN",VLOOKUP(Table1[[#This Row],[Cust '#]],ClientInfo!$A:$D,4,0),"")</f>
        <v/>
      </c>
      <c r="L186" s="1" t="str">
        <f>IF(K186="NET30",Table1[[#This Row],[Posting Date]]+30,IF(K186="NET15",Table1[[#This Row],[Posting Date]]+15,IF(K186="COD",Table1[[#This Row],[Posting Date]],"")))</f>
        <v/>
      </c>
      <c r="M186" s="4" t="str">
        <f>IFERROR(IF(Table1[[#This Row],[Type]]="IN",Table1[[#This Row],[RC Date]]-Table1[[#This Row],[Posting Date]],""),"")</f>
        <v/>
      </c>
      <c r="N186">
        <f>IFERROR(IF(Table1[[#This Row],[Balance Due (LC)]]&lt;&gt;0,$S$1-L186,0),"")</f>
        <v>0</v>
      </c>
      <c r="O186">
        <f>IFERROR(IF(Table1[[#This Row],[Type]]="IN",Table1[[#This Row],[C/D (LC)]],IF(Table1[[#This Row],[Type]]="CN",Table1[[#This Row],[C/D (LC)]],"")),"")</f>
        <v>-35</v>
      </c>
      <c r="P186" t="str">
        <f>VLOOKUP(Table1[[#This Row],[Cust '#]],ClientInfo!$A:$B,2,0)</f>
        <v>Client_03</v>
      </c>
    </row>
    <row r="187" spans="1:16">
      <c r="A187" t="s">
        <v>109</v>
      </c>
      <c r="B187" t="s">
        <v>12</v>
      </c>
      <c r="C187">
        <v>140015949</v>
      </c>
      <c r="D187" s="1">
        <v>45602</v>
      </c>
      <c r="E187">
        <v>5008.5</v>
      </c>
      <c r="F187">
        <v>0</v>
      </c>
      <c r="G187">
        <v>700002447</v>
      </c>
      <c r="H187" s="1">
        <v>45663</v>
      </c>
      <c r="I187">
        <f>YEAR(Table1[[#This Row],[Posting Date]])</f>
        <v>2024</v>
      </c>
      <c r="J187">
        <f>MONTH(Table1[[#This Row],[Posting Date]])</f>
        <v>11</v>
      </c>
      <c r="K187" t="str">
        <f>IF(Table1[[#This Row],[Type]]="IN",VLOOKUP(Table1[[#This Row],[Cust '#]],ClientInfo!$A:$D,4,0),"")</f>
        <v>COD</v>
      </c>
      <c r="L187" s="1">
        <f>IF(K187="NET30",Table1[[#This Row],[Posting Date]]+30,IF(K187="NET15",Table1[[#This Row],[Posting Date]]+15,IF(K187="COD",Table1[[#This Row],[Posting Date]],"")))</f>
        <v>45602</v>
      </c>
      <c r="M187" s="4">
        <f>IFERROR(IF(Table1[[#This Row],[Type]]="IN",Table1[[#This Row],[RC Date]]-Table1[[#This Row],[Posting Date]],""),"")</f>
        <v>61</v>
      </c>
      <c r="N187">
        <f>IFERROR(IF(Table1[[#This Row],[Balance Due (LC)]]&lt;&gt;0,$S$1-L187,0),"")</f>
        <v>0</v>
      </c>
      <c r="O187">
        <f>IFERROR(IF(Table1[[#This Row],[Type]]="IN",Table1[[#This Row],[C/D (LC)]],IF(Table1[[#This Row],[Type]]="CN",Table1[[#This Row],[C/D (LC)]],"")),"")</f>
        <v>5008.5</v>
      </c>
      <c r="P187" t="str">
        <f>VLOOKUP(Table1[[#This Row],[Cust '#]],ClientInfo!$A:$B,2,0)</f>
        <v>Client_03</v>
      </c>
    </row>
    <row r="188" spans="1:16">
      <c r="A188" t="s">
        <v>109</v>
      </c>
      <c r="B188" t="s">
        <v>13</v>
      </c>
      <c r="C188">
        <v>150000714</v>
      </c>
      <c r="D188" s="1">
        <v>45617</v>
      </c>
      <c r="E188">
        <v>-162.9</v>
      </c>
      <c r="F188">
        <v>0</v>
      </c>
      <c r="G188">
        <v>700002447</v>
      </c>
      <c r="H188" s="1">
        <v>45663</v>
      </c>
      <c r="I188">
        <f>YEAR(Table1[[#This Row],[Posting Date]])</f>
        <v>2024</v>
      </c>
      <c r="J188">
        <f>MONTH(Table1[[#This Row],[Posting Date]])</f>
        <v>11</v>
      </c>
      <c r="K188" t="str">
        <f>IF(Table1[[#This Row],[Type]]="IN",VLOOKUP(Table1[[#This Row],[Cust '#]],ClientInfo!$A:$D,4,0),"")</f>
        <v/>
      </c>
      <c r="L188" s="1" t="str">
        <f>IF(K188="NET30",Table1[[#This Row],[Posting Date]]+30,IF(K188="NET15",Table1[[#This Row],[Posting Date]]+15,IF(K188="COD",Table1[[#This Row],[Posting Date]],"")))</f>
        <v/>
      </c>
      <c r="M188" s="4" t="str">
        <f>IFERROR(IF(Table1[[#This Row],[Type]]="IN",Table1[[#This Row],[RC Date]]-Table1[[#This Row],[Posting Date]],""),"")</f>
        <v/>
      </c>
      <c r="N188">
        <f>IFERROR(IF(Table1[[#This Row],[Balance Due (LC)]]&lt;&gt;0,$S$1-L188,0),"")</f>
        <v>0</v>
      </c>
      <c r="O188">
        <f>IFERROR(IF(Table1[[#This Row],[Type]]="IN",Table1[[#This Row],[C/D (LC)]],IF(Table1[[#This Row],[Type]]="CN",Table1[[#This Row],[C/D (LC)]],"")),"")</f>
        <v>-162.9</v>
      </c>
      <c r="P188" t="str">
        <f>VLOOKUP(Table1[[#This Row],[Cust '#]],ClientInfo!$A:$B,2,0)</f>
        <v>Client_03</v>
      </c>
    </row>
    <row r="189" spans="1:16">
      <c r="A189" t="s">
        <v>109</v>
      </c>
      <c r="B189" t="s">
        <v>10</v>
      </c>
      <c r="C189">
        <v>700002447</v>
      </c>
      <c r="D189" s="1">
        <v>45663</v>
      </c>
      <c r="E189">
        <v>-4932</v>
      </c>
      <c r="F189">
        <v>0</v>
      </c>
      <c r="G189">
        <v>700002447</v>
      </c>
      <c r="H189" s="1">
        <v>45663</v>
      </c>
      <c r="I189">
        <f>YEAR(Table1[[#This Row],[Posting Date]])</f>
        <v>2025</v>
      </c>
      <c r="J189">
        <f>MONTH(Table1[[#This Row],[Posting Date]])</f>
        <v>1</v>
      </c>
      <c r="K189" t="str">
        <f>IF(Table1[[#This Row],[Type]]="IN",VLOOKUP(Table1[[#This Row],[Cust '#]],ClientInfo!$A:$D,4,0),"")</f>
        <v/>
      </c>
      <c r="L189" s="1" t="str">
        <f>IF(K189="NET30",Table1[[#This Row],[Posting Date]]+30,IF(K189="NET15",Table1[[#This Row],[Posting Date]]+15,IF(K189="COD",Table1[[#This Row],[Posting Date]],"")))</f>
        <v/>
      </c>
      <c r="M189" s="4" t="str">
        <f>IFERROR(IF(Table1[[#This Row],[Type]]="IN",Table1[[#This Row],[RC Date]]-Table1[[#This Row],[Posting Date]],""),"")</f>
        <v/>
      </c>
      <c r="N189">
        <f>IFERROR(IF(Table1[[#This Row],[Balance Due (LC)]]&lt;&gt;0,$S$1-L189,0),"")</f>
        <v>0</v>
      </c>
      <c r="O189" t="str">
        <f>IFERROR(IF(Table1[[#This Row],[Type]]="IN",Table1[[#This Row],[C/D (LC)]],IF(Table1[[#This Row],[Type]]="CN",Table1[[#This Row],[C/D (LC)]],"")),"")</f>
        <v/>
      </c>
      <c r="P189" t="str">
        <f>VLOOKUP(Table1[[#This Row],[Cust '#]],ClientInfo!$A:$B,2,0)</f>
        <v>Client_03</v>
      </c>
    </row>
    <row r="190" spans="1:16">
      <c r="A190" t="s">
        <v>109</v>
      </c>
      <c r="B190" t="s">
        <v>12</v>
      </c>
      <c r="C190">
        <v>140019206</v>
      </c>
      <c r="D190" s="1">
        <v>45672</v>
      </c>
      <c r="E190">
        <v>5554.6</v>
      </c>
      <c r="F190">
        <v>0</v>
      </c>
      <c r="G190">
        <v>700002683</v>
      </c>
      <c r="H190" s="1">
        <v>45698</v>
      </c>
      <c r="I190">
        <f>YEAR(Table1[[#This Row],[Posting Date]])</f>
        <v>2025</v>
      </c>
      <c r="J190">
        <f>MONTH(Table1[[#This Row],[Posting Date]])</f>
        <v>1</v>
      </c>
      <c r="K190" t="str">
        <f>IF(Table1[[#This Row],[Type]]="IN",VLOOKUP(Table1[[#This Row],[Cust '#]],ClientInfo!$A:$D,4,0),"")</f>
        <v>COD</v>
      </c>
      <c r="L190" s="1">
        <f>IF(K190="NET30",Table1[[#This Row],[Posting Date]]+30,IF(K190="NET15",Table1[[#This Row],[Posting Date]]+15,IF(K190="COD",Table1[[#This Row],[Posting Date]],"")))</f>
        <v>45672</v>
      </c>
      <c r="M190" s="4">
        <f>IFERROR(IF(Table1[[#This Row],[Type]]="IN",Table1[[#This Row],[RC Date]]-Table1[[#This Row],[Posting Date]],""),"")</f>
        <v>26</v>
      </c>
      <c r="N190">
        <f>IFERROR(IF(Table1[[#This Row],[Balance Due (LC)]]&lt;&gt;0,$S$1-L190,0),"")</f>
        <v>0</v>
      </c>
      <c r="O190">
        <f>IFERROR(IF(Table1[[#This Row],[Type]]="IN",Table1[[#This Row],[C/D (LC)]],IF(Table1[[#This Row],[Type]]="CN",Table1[[#This Row],[C/D (LC)]],"")),"")</f>
        <v>5554.6</v>
      </c>
      <c r="P190" t="str">
        <f>VLOOKUP(Table1[[#This Row],[Cust '#]],ClientInfo!$A:$B,2,0)</f>
        <v>Client_03</v>
      </c>
    </row>
    <row r="191" spans="1:16">
      <c r="A191" t="s">
        <v>109</v>
      </c>
      <c r="B191" t="s">
        <v>10</v>
      </c>
      <c r="C191">
        <v>700002683</v>
      </c>
      <c r="D191" s="1">
        <v>45698</v>
      </c>
      <c r="E191">
        <v>-5554.6</v>
      </c>
      <c r="F191">
        <v>0</v>
      </c>
      <c r="G191">
        <v>700002683</v>
      </c>
      <c r="H191" s="1">
        <v>45698</v>
      </c>
      <c r="I191">
        <f>YEAR(Table1[[#This Row],[Posting Date]])</f>
        <v>2025</v>
      </c>
      <c r="J191">
        <f>MONTH(Table1[[#This Row],[Posting Date]])</f>
        <v>2</v>
      </c>
      <c r="K191" t="str">
        <f>IF(Table1[[#This Row],[Type]]="IN",VLOOKUP(Table1[[#This Row],[Cust '#]],ClientInfo!$A:$D,4,0),"")</f>
        <v/>
      </c>
      <c r="L191" s="1" t="str">
        <f>IF(K191="NET30",Table1[[#This Row],[Posting Date]]+30,IF(K191="NET15",Table1[[#This Row],[Posting Date]]+15,IF(K191="COD",Table1[[#This Row],[Posting Date]],"")))</f>
        <v/>
      </c>
      <c r="M191" s="4" t="str">
        <f>IFERROR(IF(Table1[[#This Row],[Type]]="IN",Table1[[#This Row],[RC Date]]-Table1[[#This Row],[Posting Date]],""),"")</f>
        <v/>
      </c>
      <c r="N191">
        <f>IFERROR(IF(Table1[[#This Row],[Balance Due (LC)]]&lt;&gt;0,$S$1-L191,0),"")</f>
        <v>0</v>
      </c>
      <c r="O191" t="str">
        <f>IFERROR(IF(Table1[[#This Row],[Type]]="IN",Table1[[#This Row],[C/D (LC)]],IF(Table1[[#This Row],[Type]]="CN",Table1[[#This Row],[C/D (LC)]],"")),"")</f>
        <v/>
      </c>
      <c r="P191" t="str">
        <f>VLOOKUP(Table1[[#This Row],[Cust '#]],ClientInfo!$A:$B,2,0)</f>
        <v>Client_03</v>
      </c>
    </row>
    <row r="192" spans="1:16">
      <c r="A192" t="s">
        <v>109</v>
      </c>
      <c r="B192" t="s">
        <v>12</v>
      </c>
      <c r="C192">
        <v>140020498</v>
      </c>
      <c r="D192" s="1">
        <v>45700</v>
      </c>
      <c r="E192">
        <v>5367.4</v>
      </c>
      <c r="F192">
        <v>0</v>
      </c>
      <c r="G192">
        <v>700002919</v>
      </c>
      <c r="H192" s="1">
        <v>45726</v>
      </c>
      <c r="I192">
        <f>YEAR(Table1[[#This Row],[Posting Date]])</f>
        <v>2025</v>
      </c>
      <c r="J192">
        <f>MONTH(Table1[[#This Row],[Posting Date]])</f>
        <v>2</v>
      </c>
      <c r="K192" t="str">
        <f>IF(Table1[[#This Row],[Type]]="IN",VLOOKUP(Table1[[#This Row],[Cust '#]],ClientInfo!$A:$D,4,0),"")</f>
        <v>COD</v>
      </c>
      <c r="L192" s="1">
        <f>IF(K192="NET30",Table1[[#This Row],[Posting Date]]+30,IF(K192="NET15",Table1[[#This Row],[Posting Date]]+15,IF(K192="COD",Table1[[#This Row],[Posting Date]],"")))</f>
        <v>45700</v>
      </c>
      <c r="M192" s="4">
        <f>IFERROR(IF(Table1[[#This Row],[Type]]="IN",Table1[[#This Row],[RC Date]]-Table1[[#This Row],[Posting Date]],""),"")</f>
        <v>26</v>
      </c>
      <c r="N192">
        <f>IFERROR(IF(Table1[[#This Row],[Balance Due (LC)]]&lt;&gt;0,$S$1-L192,0),"")</f>
        <v>0</v>
      </c>
      <c r="O192">
        <f>IFERROR(IF(Table1[[#This Row],[Type]]="IN",Table1[[#This Row],[C/D (LC)]],IF(Table1[[#This Row],[Type]]="CN",Table1[[#This Row],[C/D (LC)]],"")),"")</f>
        <v>5367.4</v>
      </c>
      <c r="P192" t="str">
        <f>VLOOKUP(Table1[[#This Row],[Cust '#]],ClientInfo!$A:$B,2,0)</f>
        <v>Client_03</v>
      </c>
    </row>
    <row r="193" spans="1:16">
      <c r="A193" t="s">
        <v>109</v>
      </c>
      <c r="B193" t="s">
        <v>10</v>
      </c>
      <c r="C193">
        <v>700002919</v>
      </c>
      <c r="D193" s="1">
        <v>45726</v>
      </c>
      <c r="E193">
        <v>-5367.4</v>
      </c>
      <c r="F193">
        <v>0</v>
      </c>
      <c r="G193">
        <v>700002919</v>
      </c>
      <c r="H193" s="1">
        <v>45726</v>
      </c>
      <c r="I193">
        <f>YEAR(Table1[[#This Row],[Posting Date]])</f>
        <v>2025</v>
      </c>
      <c r="J193">
        <f>MONTH(Table1[[#This Row],[Posting Date]])</f>
        <v>3</v>
      </c>
      <c r="K193" t="str">
        <f>IF(Table1[[#This Row],[Type]]="IN",VLOOKUP(Table1[[#This Row],[Cust '#]],ClientInfo!$A:$D,4,0),"")</f>
        <v/>
      </c>
      <c r="L193" s="1" t="str">
        <f>IF(K193="NET30",Table1[[#This Row],[Posting Date]]+30,IF(K193="NET15",Table1[[#This Row],[Posting Date]]+15,IF(K193="COD",Table1[[#This Row],[Posting Date]],"")))</f>
        <v/>
      </c>
      <c r="M193" s="4" t="str">
        <f>IFERROR(IF(Table1[[#This Row],[Type]]="IN",Table1[[#This Row],[RC Date]]-Table1[[#This Row],[Posting Date]],""),"")</f>
        <v/>
      </c>
      <c r="N193">
        <f>IFERROR(IF(Table1[[#This Row],[Balance Due (LC)]]&lt;&gt;0,$S$1-L193,0),"")</f>
        <v>0</v>
      </c>
      <c r="O193" t="str">
        <f>IFERROR(IF(Table1[[#This Row],[Type]]="IN",Table1[[#This Row],[C/D (LC)]],IF(Table1[[#This Row],[Type]]="CN",Table1[[#This Row],[C/D (LC)]],"")),"")</f>
        <v/>
      </c>
      <c r="P193" t="str">
        <f>VLOOKUP(Table1[[#This Row],[Cust '#]],ClientInfo!$A:$B,2,0)</f>
        <v>Client_03</v>
      </c>
    </row>
    <row r="194" spans="1:16">
      <c r="A194" t="s">
        <v>109</v>
      </c>
      <c r="B194" t="s">
        <v>12</v>
      </c>
      <c r="C194">
        <v>140021750</v>
      </c>
      <c r="D194" s="1">
        <v>45728</v>
      </c>
      <c r="E194">
        <v>5783.2</v>
      </c>
      <c r="F194">
        <v>0</v>
      </c>
      <c r="G194">
        <v>700003290</v>
      </c>
      <c r="H194" s="1">
        <v>45765</v>
      </c>
      <c r="I194">
        <f>YEAR(Table1[[#This Row],[Posting Date]])</f>
        <v>2025</v>
      </c>
      <c r="J194">
        <f>MONTH(Table1[[#This Row],[Posting Date]])</f>
        <v>3</v>
      </c>
      <c r="K194" t="str">
        <f>IF(Table1[[#This Row],[Type]]="IN",VLOOKUP(Table1[[#This Row],[Cust '#]],ClientInfo!$A:$D,4,0),"")</f>
        <v>COD</v>
      </c>
      <c r="L194" s="1">
        <f>IF(K194="NET30",Table1[[#This Row],[Posting Date]]+30,IF(K194="NET15",Table1[[#This Row],[Posting Date]]+15,IF(K194="COD",Table1[[#This Row],[Posting Date]],"")))</f>
        <v>45728</v>
      </c>
      <c r="M194" s="4">
        <f>IFERROR(IF(Table1[[#This Row],[Type]]="IN",Table1[[#This Row],[RC Date]]-Table1[[#This Row],[Posting Date]],""),"")</f>
        <v>37</v>
      </c>
      <c r="N194">
        <f>IFERROR(IF(Table1[[#This Row],[Balance Due (LC)]]&lt;&gt;0,$S$1-L194,0),"")</f>
        <v>0</v>
      </c>
      <c r="O194">
        <f>IFERROR(IF(Table1[[#This Row],[Type]]="IN",Table1[[#This Row],[C/D (LC)]],IF(Table1[[#This Row],[Type]]="CN",Table1[[#This Row],[C/D (LC)]],"")),"")</f>
        <v>5783.2</v>
      </c>
      <c r="P194" t="str">
        <f>VLOOKUP(Table1[[#This Row],[Cust '#]],ClientInfo!$A:$B,2,0)</f>
        <v>Client_03</v>
      </c>
    </row>
    <row r="195" spans="1:16">
      <c r="A195" t="s">
        <v>109</v>
      </c>
      <c r="B195" t="s">
        <v>12</v>
      </c>
      <c r="C195">
        <v>140022340</v>
      </c>
      <c r="D195" s="1">
        <v>45742</v>
      </c>
      <c r="E195">
        <v>1020</v>
      </c>
      <c r="F195">
        <v>0</v>
      </c>
      <c r="G195">
        <v>700003596</v>
      </c>
      <c r="H195" s="1">
        <v>45807</v>
      </c>
      <c r="I195">
        <f>YEAR(Table1[[#This Row],[Posting Date]])</f>
        <v>2025</v>
      </c>
      <c r="J195">
        <f>MONTH(Table1[[#This Row],[Posting Date]])</f>
        <v>3</v>
      </c>
      <c r="K195" t="str">
        <f>IF(Table1[[#This Row],[Type]]="IN",VLOOKUP(Table1[[#This Row],[Cust '#]],ClientInfo!$A:$D,4,0),"")</f>
        <v>COD</v>
      </c>
      <c r="L195" s="1">
        <f>IF(K195="NET30",Table1[[#This Row],[Posting Date]]+30,IF(K195="NET15",Table1[[#This Row],[Posting Date]]+15,IF(K195="COD",Table1[[#This Row],[Posting Date]],"")))</f>
        <v>45742</v>
      </c>
      <c r="M195" s="4">
        <f>IFERROR(IF(Table1[[#This Row],[Type]]="IN",Table1[[#This Row],[RC Date]]-Table1[[#This Row],[Posting Date]],""),"")</f>
        <v>65</v>
      </c>
      <c r="N195">
        <f>IFERROR(IF(Table1[[#This Row],[Balance Due (LC)]]&lt;&gt;0,$S$1-L195,0),"")</f>
        <v>0</v>
      </c>
      <c r="O195">
        <f>IFERROR(IF(Table1[[#This Row],[Type]]="IN",Table1[[#This Row],[C/D (LC)]],IF(Table1[[#This Row],[Type]]="CN",Table1[[#This Row],[C/D (LC)]],"")),"")</f>
        <v>1020</v>
      </c>
      <c r="P195" t="str">
        <f>VLOOKUP(Table1[[#This Row],[Cust '#]],ClientInfo!$A:$B,2,0)</f>
        <v>Client_03</v>
      </c>
    </row>
    <row r="196" spans="1:16">
      <c r="A196" t="s">
        <v>109</v>
      </c>
      <c r="B196" t="s">
        <v>10</v>
      </c>
      <c r="C196">
        <v>700003290</v>
      </c>
      <c r="D196" s="1">
        <v>45765</v>
      </c>
      <c r="E196">
        <v>-5783.2</v>
      </c>
      <c r="F196">
        <v>0</v>
      </c>
      <c r="G196">
        <v>700003290</v>
      </c>
      <c r="H196" s="1">
        <v>45765</v>
      </c>
      <c r="I196">
        <f>YEAR(Table1[[#This Row],[Posting Date]])</f>
        <v>2025</v>
      </c>
      <c r="J196">
        <f>MONTH(Table1[[#This Row],[Posting Date]])</f>
        <v>4</v>
      </c>
      <c r="K196" t="str">
        <f>IF(Table1[[#This Row],[Type]]="IN",VLOOKUP(Table1[[#This Row],[Cust '#]],ClientInfo!$A:$D,4,0),"")</f>
        <v/>
      </c>
      <c r="L196" s="1" t="str">
        <f>IF(K196="NET30",Table1[[#This Row],[Posting Date]]+30,IF(K196="NET15",Table1[[#This Row],[Posting Date]]+15,IF(K196="COD",Table1[[#This Row],[Posting Date]],"")))</f>
        <v/>
      </c>
      <c r="M196" s="4" t="str">
        <f>IFERROR(IF(Table1[[#This Row],[Type]]="IN",Table1[[#This Row],[RC Date]]-Table1[[#This Row],[Posting Date]],""),"")</f>
        <v/>
      </c>
      <c r="N196">
        <f>IFERROR(IF(Table1[[#This Row],[Balance Due (LC)]]&lt;&gt;0,$S$1-L196,0),"")</f>
        <v>0</v>
      </c>
      <c r="O196" t="str">
        <f>IFERROR(IF(Table1[[#This Row],[Type]]="IN",Table1[[#This Row],[C/D (LC)]],IF(Table1[[#This Row],[Type]]="CN",Table1[[#This Row],[C/D (LC)]],"")),"")</f>
        <v/>
      </c>
      <c r="P196" t="str">
        <f>VLOOKUP(Table1[[#This Row],[Cust '#]],ClientInfo!$A:$B,2,0)</f>
        <v>Client_03</v>
      </c>
    </row>
    <row r="197" spans="1:16">
      <c r="A197" t="s">
        <v>109</v>
      </c>
      <c r="B197" t="s">
        <v>12</v>
      </c>
      <c r="C197">
        <v>140023589</v>
      </c>
      <c r="D197" s="1">
        <v>45770</v>
      </c>
      <c r="E197">
        <v>16018.4</v>
      </c>
      <c r="F197">
        <v>0</v>
      </c>
      <c r="G197">
        <v>700003596</v>
      </c>
      <c r="H197" s="1">
        <v>45807</v>
      </c>
      <c r="I197">
        <f>YEAR(Table1[[#This Row],[Posting Date]])</f>
        <v>2025</v>
      </c>
      <c r="J197">
        <f>MONTH(Table1[[#This Row],[Posting Date]])</f>
        <v>4</v>
      </c>
      <c r="K197" t="str">
        <f>IF(Table1[[#This Row],[Type]]="IN",VLOOKUP(Table1[[#This Row],[Cust '#]],ClientInfo!$A:$D,4,0),"")</f>
        <v>COD</v>
      </c>
      <c r="L197" s="1">
        <f>IF(K197="NET30",Table1[[#This Row],[Posting Date]]+30,IF(K197="NET15",Table1[[#This Row],[Posting Date]]+15,IF(K197="COD",Table1[[#This Row],[Posting Date]],"")))</f>
        <v>45770</v>
      </c>
      <c r="M197" s="4">
        <f>IFERROR(IF(Table1[[#This Row],[Type]]="IN",Table1[[#This Row],[RC Date]]-Table1[[#This Row],[Posting Date]],""),"")</f>
        <v>37</v>
      </c>
      <c r="N197">
        <f>IFERROR(IF(Table1[[#This Row],[Balance Due (LC)]]&lt;&gt;0,$S$1-L197,0),"")</f>
        <v>0</v>
      </c>
      <c r="O197">
        <f>IFERROR(IF(Table1[[#This Row],[Type]]="IN",Table1[[#This Row],[C/D (LC)]],IF(Table1[[#This Row],[Type]]="CN",Table1[[#This Row],[C/D (LC)]],"")),"")</f>
        <v>16018.4</v>
      </c>
      <c r="P197" t="str">
        <f>VLOOKUP(Table1[[#This Row],[Cust '#]],ClientInfo!$A:$B,2,0)</f>
        <v>Client_03</v>
      </c>
    </row>
    <row r="198" spans="1:16">
      <c r="A198" t="s">
        <v>109</v>
      </c>
      <c r="B198" t="s">
        <v>10</v>
      </c>
      <c r="C198">
        <v>700003596</v>
      </c>
      <c r="D198" s="1">
        <v>45807</v>
      </c>
      <c r="E198">
        <v>-8519.2000000000007</v>
      </c>
      <c r="F198">
        <v>0</v>
      </c>
      <c r="G198">
        <v>700003596</v>
      </c>
      <c r="H198" s="1">
        <v>45807</v>
      </c>
      <c r="I198">
        <f>YEAR(Table1[[#This Row],[Posting Date]])</f>
        <v>2025</v>
      </c>
      <c r="J198">
        <f>MONTH(Table1[[#This Row],[Posting Date]])</f>
        <v>5</v>
      </c>
      <c r="K198" t="str">
        <f>IF(Table1[[#This Row],[Type]]="IN",VLOOKUP(Table1[[#This Row],[Cust '#]],ClientInfo!$A:$D,4,0),"")</f>
        <v/>
      </c>
      <c r="L198" s="1" t="str">
        <f>IF(K198="NET30",Table1[[#This Row],[Posting Date]]+30,IF(K198="NET15",Table1[[#This Row],[Posting Date]]+15,IF(K198="COD",Table1[[#This Row],[Posting Date]],"")))</f>
        <v/>
      </c>
      <c r="M198" s="4" t="str">
        <f>IFERROR(IF(Table1[[#This Row],[Type]]="IN",Table1[[#This Row],[RC Date]]-Table1[[#This Row],[Posting Date]],""),"")</f>
        <v/>
      </c>
      <c r="N198">
        <f>IFERROR(IF(Table1[[#This Row],[Balance Due (LC)]]&lt;&gt;0,$S$1-L198,0),"")</f>
        <v>0</v>
      </c>
      <c r="O198" t="str">
        <f>IFERROR(IF(Table1[[#This Row],[Type]]="IN",Table1[[#This Row],[C/D (LC)]],IF(Table1[[#This Row],[Type]]="CN",Table1[[#This Row],[C/D (LC)]],"")),"")</f>
        <v/>
      </c>
      <c r="P198" t="str">
        <f>VLOOKUP(Table1[[#This Row],[Cust '#]],ClientInfo!$A:$B,2,0)</f>
        <v>Client_03</v>
      </c>
    </row>
    <row r="199" spans="1:16">
      <c r="A199" t="s">
        <v>109</v>
      </c>
      <c r="B199" t="s">
        <v>10</v>
      </c>
      <c r="C199">
        <v>700003622</v>
      </c>
      <c r="D199" s="1">
        <v>45814</v>
      </c>
      <c r="E199">
        <v>-8519.2000000000007</v>
      </c>
      <c r="F199">
        <v>0</v>
      </c>
      <c r="G199">
        <v>700003622</v>
      </c>
      <c r="H199" s="1">
        <v>45814</v>
      </c>
      <c r="I199">
        <f>YEAR(Table1[[#This Row],[Posting Date]])</f>
        <v>2025</v>
      </c>
      <c r="J199">
        <f>MONTH(Table1[[#This Row],[Posting Date]])</f>
        <v>6</v>
      </c>
      <c r="K199" t="str">
        <f>IF(Table1[[#This Row],[Type]]="IN",VLOOKUP(Table1[[#This Row],[Cust '#]],ClientInfo!$A:$D,4,0),"")</f>
        <v/>
      </c>
      <c r="L199" s="1" t="str">
        <f>IF(K199="NET30",Table1[[#This Row],[Posting Date]]+30,IF(K199="NET15",Table1[[#This Row],[Posting Date]]+15,IF(K199="COD",Table1[[#This Row],[Posting Date]],"")))</f>
        <v/>
      </c>
      <c r="M199" s="4" t="str">
        <f>IFERROR(IF(Table1[[#This Row],[Type]]="IN",Table1[[#This Row],[RC Date]]-Table1[[#This Row],[Posting Date]],""),"")</f>
        <v/>
      </c>
      <c r="N199">
        <f>IFERROR(IF(Table1[[#This Row],[Balance Due (LC)]]&lt;&gt;0,$S$1-L199,0),"")</f>
        <v>0</v>
      </c>
      <c r="O199" t="str">
        <f>IFERROR(IF(Table1[[#This Row],[Type]]="IN",Table1[[#This Row],[C/D (LC)]],IF(Table1[[#This Row],[Type]]="CN",Table1[[#This Row],[C/D (LC)]],"")),"")</f>
        <v/>
      </c>
      <c r="P199" t="str">
        <f>VLOOKUP(Table1[[#This Row],[Cust '#]],ClientInfo!$A:$B,2,0)</f>
        <v>Client_03</v>
      </c>
    </row>
    <row r="200" spans="1:16">
      <c r="A200" t="s">
        <v>109</v>
      </c>
      <c r="B200" t="s">
        <v>13</v>
      </c>
      <c r="C200">
        <v>150001200</v>
      </c>
      <c r="D200" s="1">
        <v>45825</v>
      </c>
      <c r="E200">
        <v>-51</v>
      </c>
      <c r="F200">
        <v>-51</v>
      </c>
      <c r="H200" s="1" t="s">
        <v>14</v>
      </c>
      <c r="I200">
        <f>YEAR(Table1[[#This Row],[Posting Date]])</f>
        <v>2025</v>
      </c>
      <c r="J200">
        <f>MONTH(Table1[[#This Row],[Posting Date]])</f>
        <v>6</v>
      </c>
      <c r="K200" t="str">
        <f>IF(Table1[[#This Row],[Type]]="IN",VLOOKUP(Table1[[#This Row],[Cust '#]],ClientInfo!$A:$D,4,0),"")</f>
        <v/>
      </c>
      <c r="L200" s="1" t="str">
        <f>IF(K200="NET30",Table1[[#This Row],[Posting Date]]+30,IF(K200="NET15",Table1[[#This Row],[Posting Date]]+15,IF(K200="COD",Table1[[#This Row],[Posting Date]],"")))</f>
        <v/>
      </c>
      <c r="M200" s="4" t="str">
        <f>IFERROR(IF(Table1[[#This Row],[Type]]="IN",Table1[[#This Row],[RC Date]]-Table1[[#This Row],[Posting Date]],""),"")</f>
        <v/>
      </c>
      <c r="N200" t="str">
        <f>IFERROR(IF(Table1[[#This Row],[Balance Due (LC)]]&lt;&gt;0,$S$1-L200,0),"")</f>
        <v/>
      </c>
      <c r="O200">
        <f>IFERROR(IF(Table1[[#This Row],[Type]]="IN",Table1[[#This Row],[C/D (LC)]],IF(Table1[[#This Row],[Type]]="CN",Table1[[#This Row],[C/D (LC)]],"")),"")</f>
        <v>-51</v>
      </c>
      <c r="P200" t="str">
        <f>VLOOKUP(Table1[[#This Row],[Cust '#]],ClientInfo!$A:$B,2,0)</f>
        <v>Client_03</v>
      </c>
    </row>
    <row r="201" spans="1:16">
      <c r="A201" t="s">
        <v>109</v>
      </c>
      <c r="B201" t="s">
        <v>12</v>
      </c>
      <c r="C201">
        <v>140026076</v>
      </c>
      <c r="D201" s="1">
        <v>45826</v>
      </c>
      <c r="E201">
        <v>8288.5</v>
      </c>
      <c r="F201">
        <v>8288.5</v>
      </c>
      <c r="H201" s="1" t="s">
        <v>14</v>
      </c>
      <c r="I201">
        <f>YEAR(Table1[[#This Row],[Posting Date]])</f>
        <v>2025</v>
      </c>
      <c r="J201">
        <f>MONTH(Table1[[#This Row],[Posting Date]])</f>
        <v>6</v>
      </c>
      <c r="K201" t="str">
        <f>IF(Table1[[#This Row],[Type]]="IN",VLOOKUP(Table1[[#This Row],[Cust '#]],ClientInfo!$A:$D,4,0),"")</f>
        <v>COD</v>
      </c>
      <c r="L201" s="1">
        <f>IF(K201="NET30",Table1[[#This Row],[Posting Date]]+30,IF(K201="NET15",Table1[[#This Row],[Posting Date]]+15,IF(K201="COD",Table1[[#This Row],[Posting Date]],"")))</f>
        <v>45826</v>
      </c>
      <c r="M201" s="4" t="str">
        <f>IFERROR(IF(Table1[[#This Row],[Type]]="IN",Table1[[#This Row],[RC Date]]-Table1[[#This Row],[Posting Date]],""),"")</f>
        <v/>
      </c>
      <c r="N201">
        <f>IFERROR(IF(Table1[[#This Row],[Balance Due (LC)]]&lt;&gt;0,$S$1-L201,0),"")</f>
        <v>0</v>
      </c>
      <c r="O201">
        <f>IFERROR(IF(Table1[[#This Row],[Type]]="IN",Table1[[#This Row],[C/D (LC)]],IF(Table1[[#This Row],[Type]]="CN",Table1[[#This Row],[C/D (LC)]],"")),"")</f>
        <v>8288.5</v>
      </c>
      <c r="P201" t="str">
        <f>VLOOKUP(Table1[[#This Row],[Cust '#]],ClientInfo!$A:$B,2,0)</f>
        <v>Client_03</v>
      </c>
    </row>
    <row r="202" spans="1:16">
      <c r="A202" t="s">
        <v>110</v>
      </c>
      <c r="B202" t="s">
        <v>13</v>
      </c>
      <c r="C202">
        <v>150000133</v>
      </c>
      <c r="D202" s="1">
        <v>45318</v>
      </c>
      <c r="E202">
        <v>-26.5</v>
      </c>
      <c r="F202">
        <v>0</v>
      </c>
      <c r="G202">
        <v>700000936</v>
      </c>
      <c r="H202" s="1">
        <v>45467</v>
      </c>
      <c r="I202">
        <f>YEAR(Table1[[#This Row],[Posting Date]])</f>
        <v>2024</v>
      </c>
      <c r="J202">
        <f>MONTH(Table1[[#This Row],[Posting Date]])</f>
        <v>1</v>
      </c>
      <c r="K202" t="str">
        <f>IF(Table1[[#This Row],[Type]]="IN",VLOOKUP(Table1[[#This Row],[Cust '#]],ClientInfo!$A:$D,4,0),"")</f>
        <v/>
      </c>
      <c r="L202" s="1" t="str">
        <f>IF(K202="NET30",Table1[[#This Row],[Posting Date]]+30,IF(K202="NET15",Table1[[#This Row],[Posting Date]]+15,IF(K202="COD",Table1[[#This Row],[Posting Date]],"")))</f>
        <v/>
      </c>
      <c r="M202" s="4" t="str">
        <f>IFERROR(IF(Table1[[#This Row],[Type]]="IN",Table1[[#This Row],[RC Date]]-Table1[[#This Row],[Posting Date]],""),"")</f>
        <v/>
      </c>
      <c r="N202">
        <f>IFERROR(IF(Table1[[#This Row],[Balance Due (LC)]]&lt;&gt;0,$S$1-L202,0),"")</f>
        <v>0</v>
      </c>
      <c r="O202">
        <f>IFERROR(IF(Table1[[#This Row],[Type]]="IN",Table1[[#This Row],[C/D (LC)]],IF(Table1[[#This Row],[Type]]="CN",Table1[[#This Row],[C/D (LC)]],"")),"")</f>
        <v>-26.5</v>
      </c>
      <c r="P202" t="str">
        <f>VLOOKUP(Table1[[#This Row],[Cust '#]],ClientInfo!$A:$B,2,0)</f>
        <v>Client_04</v>
      </c>
    </row>
    <row r="203" spans="1:16">
      <c r="A203" t="s">
        <v>110</v>
      </c>
      <c r="B203" t="s">
        <v>12</v>
      </c>
      <c r="C203">
        <v>140003921</v>
      </c>
      <c r="D203" s="1">
        <v>45343</v>
      </c>
      <c r="E203">
        <v>232</v>
      </c>
      <c r="F203">
        <v>0</v>
      </c>
      <c r="G203">
        <v>700000077</v>
      </c>
      <c r="H203" s="1">
        <v>45352</v>
      </c>
      <c r="I203">
        <f>YEAR(Table1[[#This Row],[Posting Date]])</f>
        <v>2024</v>
      </c>
      <c r="J203">
        <f>MONTH(Table1[[#This Row],[Posting Date]])</f>
        <v>2</v>
      </c>
      <c r="K203" t="str">
        <f>IF(Table1[[#This Row],[Type]]="IN",VLOOKUP(Table1[[#This Row],[Cust '#]],ClientInfo!$A:$D,4,0),"")</f>
        <v>NET30</v>
      </c>
      <c r="L203" s="1">
        <f>IF(K203="NET30",Table1[[#This Row],[Posting Date]]+30,IF(K203="NET15",Table1[[#This Row],[Posting Date]]+15,IF(K203="COD",Table1[[#This Row],[Posting Date]],"")))</f>
        <v>45373</v>
      </c>
      <c r="M203" s="4">
        <f>IFERROR(IF(Table1[[#This Row],[Type]]="IN",Table1[[#This Row],[RC Date]]-Table1[[#This Row],[Posting Date]],""),"")</f>
        <v>9</v>
      </c>
      <c r="N203">
        <f>IFERROR(IF(Table1[[#This Row],[Balance Due (LC)]]&lt;&gt;0,$S$1-L203,0),"")</f>
        <v>0</v>
      </c>
      <c r="O203">
        <f>IFERROR(IF(Table1[[#This Row],[Type]]="IN",Table1[[#This Row],[C/D (LC)]],IF(Table1[[#This Row],[Type]]="CN",Table1[[#This Row],[C/D (LC)]],"")),"")</f>
        <v>232</v>
      </c>
      <c r="P203" t="str">
        <f>VLOOKUP(Table1[[#This Row],[Cust '#]],ClientInfo!$A:$B,2,0)</f>
        <v>Client_04</v>
      </c>
    </row>
    <row r="204" spans="1:16">
      <c r="A204" t="s">
        <v>110</v>
      </c>
      <c r="B204" t="s">
        <v>12</v>
      </c>
      <c r="C204">
        <v>140003922</v>
      </c>
      <c r="D204" s="1">
        <v>45343</v>
      </c>
      <c r="E204">
        <v>3799</v>
      </c>
      <c r="F204">
        <v>0</v>
      </c>
      <c r="G204">
        <v>700000077</v>
      </c>
      <c r="H204" s="1">
        <v>45352</v>
      </c>
      <c r="I204">
        <f>YEAR(Table1[[#This Row],[Posting Date]])</f>
        <v>2024</v>
      </c>
      <c r="J204">
        <f>MONTH(Table1[[#This Row],[Posting Date]])</f>
        <v>2</v>
      </c>
      <c r="K204" t="str">
        <f>IF(Table1[[#This Row],[Type]]="IN",VLOOKUP(Table1[[#This Row],[Cust '#]],ClientInfo!$A:$D,4,0),"")</f>
        <v>NET30</v>
      </c>
      <c r="L204" s="1">
        <f>IF(K204="NET30",Table1[[#This Row],[Posting Date]]+30,IF(K204="NET15",Table1[[#This Row],[Posting Date]]+15,IF(K204="COD",Table1[[#This Row],[Posting Date]],"")))</f>
        <v>45373</v>
      </c>
      <c r="M204" s="4">
        <f>IFERROR(IF(Table1[[#This Row],[Type]]="IN",Table1[[#This Row],[RC Date]]-Table1[[#This Row],[Posting Date]],""),"")</f>
        <v>9</v>
      </c>
      <c r="N204">
        <f>IFERROR(IF(Table1[[#This Row],[Balance Due (LC)]]&lt;&gt;0,$S$1-L204,0),"")</f>
        <v>0</v>
      </c>
      <c r="O204">
        <f>IFERROR(IF(Table1[[#This Row],[Type]]="IN",Table1[[#This Row],[C/D (LC)]],IF(Table1[[#This Row],[Type]]="CN",Table1[[#This Row],[C/D (LC)]],"")),"")</f>
        <v>3799</v>
      </c>
      <c r="P204" t="str">
        <f>VLOOKUP(Table1[[#This Row],[Cust '#]],ClientInfo!$A:$B,2,0)</f>
        <v>Client_04</v>
      </c>
    </row>
    <row r="205" spans="1:16">
      <c r="A205" t="s">
        <v>110</v>
      </c>
      <c r="B205" t="s">
        <v>12</v>
      </c>
      <c r="C205">
        <v>140003923</v>
      </c>
      <c r="D205" s="1">
        <v>45350</v>
      </c>
      <c r="E205">
        <v>3918</v>
      </c>
      <c r="F205">
        <v>0</v>
      </c>
      <c r="G205">
        <v>700000145</v>
      </c>
      <c r="H205" s="1">
        <v>45362</v>
      </c>
      <c r="I205">
        <f>YEAR(Table1[[#This Row],[Posting Date]])</f>
        <v>2024</v>
      </c>
      <c r="J205">
        <f>MONTH(Table1[[#This Row],[Posting Date]])</f>
        <v>2</v>
      </c>
      <c r="K205" t="str">
        <f>IF(Table1[[#This Row],[Type]]="IN",VLOOKUP(Table1[[#This Row],[Cust '#]],ClientInfo!$A:$D,4,0),"")</f>
        <v>NET30</v>
      </c>
      <c r="L205" s="1">
        <f>IF(K205="NET30",Table1[[#This Row],[Posting Date]]+30,IF(K205="NET15",Table1[[#This Row],[Posting Date]]+15,IF(K205="COD",Table1[[#This Row],[Posting Date]],"")))</f>
        <v>45380</v>
      </c>
      <c r="M205" s="4">
        <f>IFERROR(IF(Table1[[#This Row],[Type]]="IN",Table1[[#This Row],[RC Date]]-Table1[[#This Row],[Posting Date]],""),"")</f>
        <v>12</v>
      </c>
      <c r="N205">
        <f>IFERROR(IF(Table1[[#This Row],[Balance Due (LC)]]&lt;&gt;0,$S$1-L205,0),"")</f>
        <v>0</v>
      </c>
      <c r="O205">
        <f>IFERROR(IF(Table1[[#This Row],[Type]]="IN",Table1[[#This Row],[C/D (LC)]],IF(Table1[[#This Row],[Type]]="CN",Table1[[#This Row],[C/D (LC)]],"")),"")</f>
        <v>3918</v>
      </c>
      <c r="P205" t="str">
        <f>VLOOKUP(Table1[[#This Row],[Cust '#]],ClientInfo!$A:$B,2,0)</f>
        <v>Client_04</v>
      </c>
    </row>
    <row r="206" spans="1:16">
      <c r="A206" t="s">
        <v>110</v>
      </c>
      <c r="B206" t="s">
        <v>10</v>
      </c>
      <c r="C206">
        <v>700000077</v>
      </c>
      <c r="D206" s="1">
        <v>45352</v>
      </c>
      <c r="E206">
        <v>-4031</v>
      </c>
      <c r="F206">
        <v>0</v>
      </c>
      <c r="G206">
        <v>700000077</v>
      </c>
      <c r="H206" s="1">
        <v>45352</v>
      </c>
      <c r="I206">
        <f>YEAR(Table1[[#This Row],[Posting Date]])</f>
        <v>2024</v>
      </c>
      <c r="J206">
        <f>MONTH(Table1[[#This Row],[Posting Date]])</f>
        <v>3</v>
      </c>
      <c r="K206" t="str">
        <f>IF(Table1[[#This Row],[Type]]="IN",VLOOKUP(Table1[[#This Row],[Cust '#]],ClientInfo!$A:$D,4,0),"")</f>
        <v/>
      </c>
      <c r="L206" s="1" t="str">
        <f>IF(K206="NET30",Table1[[#This Row],[Posting Date]]+30,IF(K206="NET15",Table1[[#This Row],[Posting Date]]+15,IF(K206="COD",Table1[[#This Row],[Posting Date]],"")))</f>
        <v/>
      </c>
      <c r="M206" s="4" t="str">
        <f>IFERROR(IF(Table1[[#This Row],[Type]]="IN",Table1[[#This Row],[RC Date]]-Table1[[#This Row],[Posting Date]],""),"")</f>
        <v/>
      </c>
      <c r="N206">
        <f>IFERROR(IF(Table1[[#This Row],[Balance Due (LC)]]&lt;&gt;0,$S$1-L206,0),"")</f>
        <v>0</v>
      </c>
      <c r="O206" t="str">
        <f>IFERROR(IF(Table1[[#This Row],[Type]]="IN",Table1[[#This Row],[C/D (LC)]],IF(Table1[[#This Row],[Type]]="CN",Table1[[#This Row],[C/D (LC)]],"")),"")</f>
        <v/>
      </c>
      <c r="P206" t="str">
        <f>VLOOKUP(Table1[[#This Row],[Cust '#]],ClientInfo!$A:$B,2,0)</f>
        <v>Client_04</v>
      </c>
    </row>
    <row r="207" spans="1:16">
      <c r="A207" t="s">
        <v>110</v>
      </c>
      <c r="B207" t="s">
        <v>12</v>
      </c>
      <c r="C207">
        <v>140004593</v>
      </c>
      <c r="D207" s="1">
        <v>45357</v>
      </c>
      <c r="E207">
        <v>2656.4</v>
      </c>
      <c r="F207">
        <v>0</v>
      </c>
      <c r="G207">
        <v>700000190</v>
      </c>
      <c r="H207" s="1">
        <v>45366</v>
      </c>
      <c r="I207">
        <f>YEAR(Table1[[#This Row],[Posting Date]])</f>
        <v>2024</v>
      </c>
      <c r="J207">
        <f>MONTH(Table1[[#This Row],[Posting Date]])</f>
        <v>3</v>
      </c>
      <c r="K207" t="str">
        <f>IF(Table1[[#This Row],[Type]]="IN",VLOOKUP(Table1[[#This Row],[Cust '#]],ClientInfo!$A:$D,4,0),"")</f>
        <v>NET30</v>
      </c>
      <c r="L207" s="1">
        <f>IF(K207="NET30",Table1[[#This Row],[Posting Date]]+30,IF(K207="NET15",Table1[[#This Row],[Posting Date]]+15,IF(K207="COD",Table1[[#This Row],[Posting Date]],"")))</f>
        <v>45387</v>
      </c>
      <c r="M207" s="4">
        <f>IFERROR(IF(Table1[[#This Row],[Type]]="IN",Table1[[#This Row],[RC Date]]-Table1[[#This Row],[Posting Date]],""),"")</f>
        <v>9</v>
      </c>
      <c r="N207">
        <f>IFERROR(IF(Table1[[#This Row],[Balance Due (LC)]]&lt;&gt;0,$S$1-L207,0),"")</f>
        <v>0</v>
      </c>
      <c r="O207">
        <f>IFERROR(IF(Table1[[#This Row],[Type]]="IN",Table1[[#This Row],[C/D (LC)]],IF(Table1[[#This Row],[Type]]="CN",Table1[[#This Row],[C/D (LC)]],"")),"")</f>
        <v>2656.4</v>
      </c>
      <c r="P207" t="str">
        <f>VLOOKUP(Table1[[#This Row],[Cust '#]],ClientInfo!$A:$B,2,0)</f>
        <v>Client_04</v>
      </c>
    </row>
    <row r="208" spans="1:16">
      <c r="A208" t="s">
        <v>110</v>
      </c>
      <c r="B208" t="s">
        <v>10</v>
      </c>
      <c r="C208">
        <v>700000145</v>
      </c>
      <c r="D208" s="1">
        <v>45362</v>
      </c>
      <c r="E208">
        <v>-3918</v>
      </c>
      <c r="F208">
        <v>0</v>
      </c>
      <c r="G208">
        <v>700000145</v>
      </c>
      <c r="H208" s="1">
        <v>45362</v>
      </c>
      <c r="I208">
        <f>YEAR(Table1[[#This Row],[Posting Date]])</f>
        <v>2024</v>
      </c>
      <c r="J208">
        <f>MONTH(Table1[[#This Row],[Posting Date]])</f>
        <v>3</v>
      </c>
      <c r="K208" t="str">
        <f>IF(Table1[[#This Row],[Type]]="IN",VLOOKUP(Table1[[#This Row],[Cust '#]],ClientInfo!$A:$D,4,0),"")</f>
        <v/>
      </c>
      <c r="L208" s="1" t="str">
        <f>IF(K208="NET30",Table1[[#This Row],[Posting Date]]+30,IF(K208="NET15",Table1[[#This Row],[Posting Date]]+15,IF(K208="COD",Table1[[#This Row],[Posting Date]],"")))</f>
        <v/>
      </c>
      <c r="M208" s="4" t="str">
        <f>IFERROR(IF(Table1[[#This Row],[Type]]="IN",Table1[[#This Row],[RC Date]]-Table1[[#This Row],[Posting Date]],""),"")</f>
        <v/>
      </c>
      <c r="N208">
        <f>IFERROR(IF(Table1[[#This Row],[Balance Due (LC)]]&lt;&gt;0,$S$1-L208,0),"")</f>
        <v>0</v>
      </c>
      <c r="O208" t="str">
        <f>IFERROR(IF(Table1[[#This Row],[Type]]="IN",Table1[[#This Row],[C/D (LC)]],IF(Table1[[#This Row],[Type]]="CN",Table1[[#This Row],[C/D (LC)]],"")),"")</f>
        <v/>
      </c>
      <c r="P208" t="str">
        <f>VLOOKUP(Table1[[#This Row],[Cust '#]],ClientInfo!$A:$B,2,0)</f>
        <v>Client_04</v>
      </c>
    </row>
    <row r="209" spans="1:16">
      <c r="A209" t="s">
        <v>110</v>
      </c>
      <c r="B209" t="s">
        <v>12</v>
      </c>
      <c r="C209">
        <v>140004914</v>
      </c>
      <c r="D209" s="1">
        <v>45364</v>
      </c>
      <c r="E209">
        <v>3686.3</v>
      </c>
      <c r="F209">
        <v>0</v>
      </c>
      <c r="G209">
        <v>700000241</v>
      </c>
      <c r="H209" s="1">
        <v>45373</v>
      </c>
      <c r="I209">
        <f>YEAR(Table1[[#This Row],[Posting Date]])</f>
        <v>2024</v>
      </c>
      <c r="J209">
        <f>MONTH(Table1[[#This Row],[Posting Date]])</f>
        <v>3</v>
      </c>
      <c r="K209" t="str">
        <f>IF(Table1[[#This Row],[Type]]="IN",VLOOKUP(Table1[[#This Row],[Cust '#]],ClientInfo!$A:$D,4,0),"")</f>
        <v>NET30</v>
      </c>
      <c r="L209" s="1">
        <f>IF(K209="NET30",Table1[[#This Row],[Posting Date]]+30,IF(K209="NET15",Table1[[#This Row],[Posting Date]]+15,IF(K209="COD",Table1[[#This Row],[Posting Date]],"")))</f>
        <v>45394</v>
      </c>
      <c r="M209" s="4">
        <f>IFERROR(IF(Table1[[#This Row],[Type]]="IN",Table1[[#This Row],[RC Date]]-Table1[[#This Row],[Posting Date]],""),"")</f>
        <v>9</v>
      </c>
      <c r="N209">
        <f>IFERROR(IF(Table1[[#This Row],[Balance Due (LC)]]&lt;&gt;0,$S$1-L209,0),"")</f>
        <v>0</v>
      </c>
      <c r="O209">
        <f>IFERROR(IF(Table1[[#This Row],[Type]]="IN",Table1[[#This Row],[C/D (LC)]],IF(Table1[[#This Row],[Type]]="CN",Table1[[#This Row],[C/D (LC)]],"")),"")</f>
        <v>3686.3</v>
      </c>
      <c r="P209" t="str">
        <f>VLOOKUP(Table1[[#This Row],[Cust '#]],ClientInfo!$A:$B,2,0)</f>
        <v>Client_04</v>
      </c>
    </row>
    <row r="210" spans="1:16">
      <c r="A210" t="s">
        <v>110</v>
      </c>
      <c r="B210" t="s">
        <v>12</v>
      </c>
      <c r="C210">
        <v>140004915</v>
      </c>
      <c r="D210" s="1">
        <v>45364</v>
      </c>
      <c r="E210">
        <v>200</v>
      </c>
      <c r="F210">
        <v>0</v>
      </c>
      <c r="G210">
        <v>700000248</v>
      </c>
      <c r="H210" s="1">
        <v>45373</v>
      </c>
      <c r="I210">
        <f>YEAR(Table1[[#This Row],[Posting Date]])</f>
        <v>2024</v>
      </c>
      <c r="J210">
        <f>MONTH(Table1[[#This Row],[Posting Date]])</f>
        <v>3</v>
      </c>
      <c r="K210" t="str">
        <f>IF(Table1[[#This Row],[Type]]="IN",VLOOKUP(Table1[[#This Row],[Cust '#]],ClientInfo!$A:$D,4,0),"")</f>
        <v>NET30</v>
      </c>
      <c r="L210" s="1">
        <f>IF(K210="NET30",Table1[[#This Row],[Posting Date]]+30,IF(K210="NET15",Table1[[#This Row],[Posting Date]]+15,IF(K210="COD",Table1[[#This Row],[Posting Date]],"")))</f>
        <v>45394</v>
      </c>
      <c r="M210" s="4">
        <f>IFERROR(IF(Table1[[#This Row],[Type]]="IN",Table1[[#This Row],[RC Date]]-Table1[[#This Row],[Posting Date]],""),"")</f>
        <v>9</v>
      </c>
      <c r="N210">
        <f>IFERROR(IF(Table1[[#This Row],[Balance Due (LC)]]&lt;&gt;0,$S$1-L210,0),"")</f>
        <v>0</v>
      </c>
      <c r="O210">
        <f>IFERROR(IF(Table1[[#This Row],[Type]]="IN",Table1[[#This Row],[C/D (LC)]],IF(Table1[[#This Row],[Type]]="CN",Table1[[#This Row],[C/D (LC)]],"")),"")</f>
        <v>200</v>
      </c>
      <c r="P210" t="str">
        <f>VLOOKUP(Table1[[#This Row],[Cust '#]],ClientInfo!$A:$B,2,0)</f>
        <v>Client_04</v>
      </c>
    </row>
    <row r="211" spans="1:16">
      <c r="A211" t="s">
        <v>110</v>
      </c>
      <c r="B211" t="s">
        <v>10</v>
      </c>
      <c r="C211">
        <v>700000190</v>
      </c>
      <c r="D211" s="1">
        <v>45366</v>
      </c>
      <c r="E211">
        <v>-2656.4</v>
      </c>
      <c r="F211">
        <v>0</v>
      </c>
      <c r="G211">
        <v>700000190</v>
      </c>
      <c r="H211" s="1">
        <v>45366</v>
      </c>
      <c r="I211">
        <f>YEAR(Table1[[#This Row],[Posting Date]])</f>
        <v>2024</v>
      </c>
      <c r="J211">
        <f>MONTH(Table1[[#This Row],[Posting Date]])</f>
        <v>3</v>
      </c>
      <c r="K211" t="str">
        <f>IF(Table1[[#This Row],[Type]]="IN",VLOOKUP(Table1[[#This Row],[Cust '#]],ClientInfo!$A:$D,4,0),"")</f>
        <v/>
      </c>
      <c r="L211" s="1" t="str">
        <f>IF(K211="NET30",Table1[[#This Row],[Posting Date]]+30,IF(K211="NET15",Table1[[#This Row],[Posting Date]]+15,IF(K211="COD",Table1[[#This Row],[Posting Date]],"")))</f>
        <v/>
      </c>
      <c r="M211" s="4" t="str">
        <f>IFERROR(IF(Table1[[#This Row],[Type]]="IN",Table1[[#This Row],[RC Date]]-Table1[[#This Row],[Posting Date]],""),"")</f>
        <v/>
      </c>
      <c r="N211">
        <f>IFERROR(IF(Table1[[#This Row],[Balance Due (LC)]]&lt;&gt;0,$S$1-L211,0),"")</f>
        <v>0</v>
      </c>
      <c r="O211" t="str">
        <f>IFERROR(IF(Table1[[#This Row],[Type]]="IN",Table1[[#This Row],[C/D (LC)]],IF(Table1[[#This Row],[Type]]="CN",Table1[[#This Row],[C/D (LC)]],"")),"")</f>
        <v/>
      </c>
      <c r="P211" t="str">
        <f>VLOOKUP(Table1[[#This Row],[Cust '#]],ClientInfo!$A:$B,2,0)</f>
        <v>Client_04</v>
      </c>
    </row>
    <row r="212" spans="1:16">
      <c r="A212" t="s">
        <v>110</v>
      </c>
      <c r="B212" t="s">
        <v>13</v>
      </c>
      <c r="C212">
        <v>150000166</v>
      </c>
      <c r="D212" s="1">
        <v>45366</v>
      </c>
      <c r="E212">
        <v>-16.8</v>
      </c>
      <c r="F212">
        <v>0</v>
      </c>
      <c r="G212">
        <v>700000936</v>
      </c>
      <c r="H212" s="1">
        <v>45467</v>
      </c>
      <c r="I212">
        <f>YEAR(Table1[[#This Row],[Posting Date]])</f>
        <v>2024</v>
      </c>
      <c r="J212">
        <f>MONTH(Table1[[#This Row],[Posting Date]])</f>
        <v>3</v>
      </c>
      <c r="K212" t="str">
        <f>IF(Table1[[#This Row],[Type]]="IN",VLOOKUP(Table1[[#This Row],[Cust '#]],ClientInfo!$A:$D,4,0),"")</f>
        <v/>
      </c>
      <c r="L212" s="1" t="str">
        <f>IF(K212="NET30",Table1[[#This Row],[Posting Date]]+30,IF(K212="NET15",Table1[[#This Row],[Posting Date]]+15,IF(K212="COD",Table1[[#This Row],[Posting Date]],"")))</f>
        <v/>
      </c>
      <c r="M212" s="4" t="str">
        <f>IFERROR(IF(Table1[[#This Row],[Type]]="IN",Table1[[#This Row],[RC Date]]-Table1[[#This Row],[Posting Date]],""),"")</f>
        <v/>
      </c>
      <c r="N212">
        <f>IFERROR(IF(Table1[[#This Row],[Balance Due (LC)]]&lt;&gt;0,$S$1-L212,0),"")</f>
        <v>0</v>
      </c>
      <c r="O212">
        <f>IFERROR(IF(Table1[[#This Row],[Type]]="IN",Table1[[#This Row],[C/D (LC)]],IF(Table1[[#This Row],[Type]]="CN",Table1[[#This Row],[C/D (LC)]],"")),"")</f>
        <v>-16.8</v>
      </c>
      <c r="P212" t="str">
        <f>VLOOKUP(Table1[[#This Row],[Cust '#]],ClientInfo!$A:$B,2,0)</f>
        <v>Client_04</v>
      </c>
    </row>
    <row r="213" spans="1:16">
      <c r="A213" t="s">
        <v>110</v>
      </c>
      <c r="B213" t="s">
        <v>12</v>
      </c>
      <c r="C213">
        <v>140005231</v>
      </c>
      <c r="D213" s="1">
        <v>45371</v>
      </c>
      <c r="E213">
        <v>3396.6</v>
      </c>
      <c r="F213">
        <v>0</v>
      </c>
      <c r="G213">
        <v>700000305</v>
      </c>
      <c r="H213" s="1">
        <v>45383</v>
      </c>
      <c r="I213">
        <f>YEAR(Table1[[#This Row],[Posting Date]])</f>
        <v>2024</v>
      </c>
      <c r="J213">
        <f>MONTH(Table1[[#This Row],[Posting Date]])</f>
        <v>3</v>
      </c>
      <c r="K213" t="str">
        <f>IF(Table1[[#This Row],[Type]]="IN",VLOOKUP(Table1[[#This Row],[Cust '#]],ClientInfo!$A:$D,4,0),"")</f>
        <v>NET30</v>
      </c>
      <c r="L213" s="1">
        <f>IF(K213="NET30",Table1[[#This Row],[Posting Date]]+30,IF(K213="NET15",Table1[[#This Row],[Posting Date]]+15,IF(K213="COD",Table1[[#This Row],[Posting Date]],"")))</f>
        <v>45401</v>
      </c>
      <c r="M213" s="4">
        <f>IFERROR(IF(Table1[[#This Row],[Type]]="IN",Table1[[#This Row],[RC Date]]-Table1[[#This Row],[Posting Date]],""),"")</f>
        <v>12</v>
      </c>
      <c r="N213">
        <f>IFERROR(IF(Table1[[#This Row],[Balance Due (LC)]]&lt;&gt;0,$S$1-L213,0),"")</f>
        <v>0</v>
      </c>
      <c r="O213">
        <f>IFERROR(IF(Table1[[#This Row],[Type]]="IN",Table1[[#This Row],[C/D (LC)]],IF(Table1[[#This Row],[Type]]="CN",Table1[[#This Row],[C/D (LC)]],"")),"")</f>
        <v>3396.6</v>
      </c>
      <c r="P213" t="str">
        <f>VLOOKUP(Table1[[#This Row],[Cust '#]],ClientInfo!$A:$B,2,0)</f>
        <v>Client_04</v>
      </c>
    </row>
    <row r="214" spans="1:16">
      <c r="A214" t="s">
        <v>110</v>
      </c>
      <c r="B214" t="s">
        <v>10</v>
      </c>
      <c r="C214">
        <v>700000241</v>
      </c>
      <c r="D214" s="1">
        <v>45373</v>
      </c>
      <c r="E214">
        <v>-3686.3</v>
      </c>
      <c r="F214">
        <v>0</v>
      </c>
      <c r="G214">
        <v>700000241</v>
      </c>
      <c r="H214" s="1">
        <v>45373</v>
      </c>
      <c r="I214">
        <f>YEAR(Table1[[#This Row],[Posting Date]])</f>
        <v>2024</v>
      </c>
      <c r="J214">
        <f>MONTH(Table1[[#This Row],[Posting Date]])</f>
        <v>3</v>
      </c>
      <c r="K214" t="str">
        <f>IF(Table1[[#This Row],[Type]]="IN",VLOOKUP(Table1[[#This Row],[Cust '#]],ClientInfo!$A:$D,4,0),"")</f>
        <v/>
      </c>
      <c r="L214" s="1" t="str">
        <f>IF(K214="NET30",Table1[[#This Row],[Posting Date]]+30,IF(K214="NET15",Table1[[#This Row],[Posting Date]]+15,IF(K214="COD",Table1[[#This Row],[Posting Date]],"")))</f>
        <v/>
      </c>
      <c r="M214" s="4" t="str">
        <f>IFERROR(IF(Table1[[#This Row],[Type]]="IN",Table1[[#This Row],[RC Date]]-Table1[[#This Row],[Posting Date]],""),"")</f>
        <v/>
      </c>
      <c r="N214">
        <f>IFERROR(IF(Table1[[#This Row],[Balance Due (LC)]]&lt;&gt;0,$S$1-L214,0),"")</f>
        <v>0</v>
      </c>
      <c r="O214" t="str">
        <f>IFERROR(IF(Table1[[#This Row],[Type]]="IN",Table1[[#This Row],[C/D (LC)]],IF(Table1[[#This Row],[Type]]="CN",Table1[[#This Row],[C/D (LC)]],"")),"")</f>
        <v/>
      </c>
      <c r="P214" t="str">
        <f>VLOOKUP(Table1[[#This Row],[Cust '#]],ClientInfo!$A:$B,2,0)</f>
        <v>Client_04</v>
      </c>
    </row>
    <row r="215" spans="1:16">
      <c r="A215" t="s">
        <v>110</v>
      </c>
      <c r="B215" t="s">
        <v>10</v>
      </c>
      <c r="C215">
        <v>700000248</v>
      </c>
      <c r="D215" s="1">
        <v>45373</v>
      </c>
      <c r="E215">
        <v>-200</v>
      </c>
      <c r="F215">
        <v>0</v>
      </c>
      <c r="G215">
        <v>700000248</v>
      </c>
      <c r="H215" s="1">
        <v>45373</v>
      </c>
      <c r="I215">
        <f>YEAR(Table1[[#This Row],[Posting Date]])</f>
        <v>2024</v>
      </c>
      <c r="J215">
        <f>MONTH(Table1[[#This Row],[Posting Date]])</f>
        <v>3</v>
      </c>
      <c r="K215" t="str">
        <f>IF(Table1[[#This Row],[Type]]="IN",VLOOKUP(Table1[[#This Row],[Cust '#]],ClientInfo!$A:$D,4,0),"")</f>
        <v/>
      </c>
      <c r="L215" s="1" t="str">
        <f>IF(K215="NET30",Table1[[#This Row],[Posting Date]]+30,IF(K215="NET15",Table1[[#This Row],[Posting Date]]+15,IF(K215="COD",Table1[[#This Row],[Posting Date]],"")))</f>
        <v/>
      </c>
      <c r="M215" s="4" t="str">
        <f>IFERROR(IF(Table1[[#This Row],[Type]]="IN",Table1[[#This Row],[RC Date]]-Table1[[#This Row],[Posting Date]],""),"")</f>
        <v/>
      </c>
      <c r="N215">
        <f>IFERROR(IF(Table1[[#This Row],[Balance Due (LC)]]&lt;&gt;0,$S$1-L215,0),"")</f>
        <v>0</v>
      </c>
      <c r="O215" t="str">
        <f>IFERROR(IF(Table1[[#This Row],[Type]]="IN",Table1[[#This Row],[C/D (LC)]],IF(Table1[[#This Row],[Type]]="CN",Table1[[#This Row],[C/D (LC)]],"")),"")</f>
        <v/>
      </c>
      <c r="P215" t="str">
        <f>VLOOKUP(Table1[[#This Row],[Cust '#]],ClientInfo!$A:$B,2,0)</f>
        <v>Client_04</v>
      </c>
    </row>
    <row r="216" spans="1:16">
      <c r="A216" t="s">
        <v>110</v>
      </c>
      <c r="B216" t="s">
        <v>13</v>
      </c>
      <c r="C216">
        <v>150000221</v>
      </c>
      <c r="D216" s="1">
        <v>45376</v>
      </c>
      <c r="E216">
        <v>-12</v>
      </c>
      <c r="F216">
        <v>0</v>
      </c>
      <c r="G216">
        <v>700000936</v>
      </c>
      <c r="H216" s="1">
        <v>45467</v>
      </c>
      <c r="I216">
        <f>YEAR(Table1[[#This Row],[Posting Date]])</f>
        <v>2024</v>
      </c>
      <c r="J216">
        <f>MONTH(Table1[[#This Row],[Posting Date]])</f>
        <v>3</v>
      </c>
      <c r="K216" t="str">
        <f>IF(Table1[[#This Row],[Type]]="IN",VLOOKUP(Table1[[#This Row],[Cust '#]],ClientInfo!$A:$D,4,0),"")</f>
        <v/>
      </c>
      <c r="L216" s="1" t="str">
        <f>IF(K216="NET30",Table1[[#This Row],[Posting Date]]+30,IF(K216="NET15",Table1[[#This Row],[Posting Date]]+15,IF(K216="COD",Table1[[#This Row],[Posting Date]],"")))</f>
        <v/>
      </c>
      <c r="M216" s="4" t="str">
        <f>IFERROR(IF(Table1[[#This Row],[Type]]="IN",Table1[[#This Row],[RC Date]]-Table1[[#This Row],[Posting Date]],""),"")</f>
        <v/>
      </c>
      <c r="N216">
        <f>IFERROR(IF(Table1[[#This Row],[Balance Due (LC)]]&lt;&gt;0,$S$1-L216,0),"")</f>
        <v>0</v>
      </c>
      <c r="O216">
        <f>IFERROR(IF(Table1[[#This Row],[Type]]="IN",Table1[[#This Row],[C/D (LC)]],IF(Table1[[#This Row],[Type]]="CN",Table1[[#This Row],[C/D (LC)]],"")),"")</f>
        <v>-12</v>
      </c>
      <c r="P216" t="str">
        <f>VLOOKUP(Table1[[#This Row],[Cust '#]],ClientInfo!$A:$B,2,0)</f>
        <v>Client_04</v>
      </c>
    </row>
    <row r="217" spans="1:16">
      <c r="A217" t="s">
        <v>110</v>
      </c>
      <c r="B217" t="s">
        <v>12</v>
      </c>
      <c r="C217">
        <v>140005572</v>
      </c>
      <c r="D217" s="1">
        <v>45378</v>
      </c>
      <c r="E217">
        <v>4647.5</v>
      </c>
      <c r="F217">
        <v>0</v>
      </c>
      <c r="G217">
        <v>700000366</v>
      </c>
      <c r="H217" s="1">
        <v>45390</v>
      </c>
      <c r="I217">
        <f>YEAR(Table1[[#This Row],[Posting Date]])</f>
        <v>2024</v>
      </c>
      <c r="J217">
        <f>MONTH(Table1[[#This Row],[Posting Date]])</f>
        <v>3</v>
      </c>
      <c r="K217" t="str">
        <f>IF(Table1[[#This Row],[Type]]="IN",VLOOKUP(Table1[[#This Row],[Cust '#]],ClientInfo!$A:$D,4,0),"")</f>
        <v>NET30</v>
      </c>
      <c r="L217" s="1">
        <f>IF(K217="NET30",Table1[[#This Row],[Posting Date]]+30,IF(K217="NET15",Table1[[#This Row],[Posting Date]]+15,IF(K217="COD",Table1[[#This Row],[Posting Date]],"")))</f>
        <v>45408</v>
      </c>
      <c r="M217" s="4">
        <f>IFERROR(IF(Table1[[#This Row],[Type]]="IN",Table1[[#This Row],[RC Date]]-Table1[[#This Row],[Posting Date]],""),"")</f>
        <v>12</v>
      </c>
      <c r="N217">
        <f>IFERROR(IF(Table1[[#This Row],[Balance Due (LC)]]&lt;&gt;0,$S$1-L217,0),"")</f>
        <v>0</v>
      </c>
      <c r="O217">
        <f>IFERROR(IF(Table1[[#This Row],[Type]]="IN",Table1[[#This Row],[C/D (LC)]],IF(Table1[[#This Row],[Type]]="CN",Table1[[#This Row],[C/D (LC)]],"")),"")</f>
        <v>4647.5</v>
      </c>
      <c r="P217" t="str">
        <f>VLOOKUP(Table1[[#This Row],[Cust '#]],ClientInfo!$A:$B,2,0)</f>
        <v>Client_04</v>
      </c>
    </row>
    <row r="218" spans="1:16">
      <c r="A218" t="s">
        <v>110</v>
      </c>
      <c r="B218" t="s">
        <v>10</v>
      </c>
      <c r="C218">
        <v>700000305</v>
      </c>
      <c r="D218" s="1">
        <v>45383</v>
      </c>
      <c r="E218">
        <v>-3396.6</v>
      </c>
      <c r="F218">
        <v>0</v>
      </c>
      <c r="G218">
        <v>700000305</v>
      </c>
      <c r="H218" s="1">
        <v>45383</v>
      </c>
      <c r="I218">
        <f>YEAR(Table1[[#This Row],[Posting Date]])</f>
        <v>2024</v>
      </c>
      <c r="J218">
        <f>MONTH(Table1[[#This Row],[Posting Date]])</f>
        <v>4</v>
      </c>
      <c r="K218" t="str">
        <f>IF(Table1[[#This Row],[Type]]="IN",VLOOKUP(Table1[[#This Row],[Cust '#]],ClientInfo!$A:$D,4,0),"")</f>
        <v/>
      </c>
      <c r="L218" s="1" t="str">
        <f>IF(K218="NET30",Table1[[#This Row],[Posting Date]]+30,IF(K218="NET15",Table1[[#This Row],[Posting Date]]+15,IF(K218="COD",Table1[[#This Row],[Posting Date]],"")))</f>
        <v/>
      </c>
      <c r="M218" s="4" t="str">
        <f>IFERROR(IF(Table1[[#This Row],[Type]]="IN",Table1[[#This Row],[RC Date]]-Table1[[#This Row],[Posting Date]],""),"")</f>
        <v/>
      </c>
      <c r="N218">
        <f>IFERROR(IF(Table1[[#This Row],[Balance Due (LC)]]&lt;&gt;0,$S$1-L218,0),"")</f>
        <v>0</v>
      </c>
      <c r="O218" t="str">
        <f>IFERROR(IF(Table1[[#This Row],[Type]]="IN",Table1[[#This Row],[C/D (LC)]],IF(Table1[[#This Row],[Type]]="CN",Table1[[#This Row],[C/D (LC)]],"")),"")</f>
        <v/>
      </c>
      <c r="P218" t="str">
        <f>VLOOKUP(Table1[[#This Row],[Cust '#]],ClientInfo!$A:$B,2,0)</f>
        <v>Client_04</v>
      </c>
    </row>
    <row r="219" spans="1:16">
      <c r="A219" t="s">
        <v>110</v>
      </c>
      <c r="B219" t="s">
        <v>12</v>
      </c>
      <c r="C219">
        <v>140005889</v>
      </c>
      <c r="D219" s="1">
        <v>45385</v>
      </c>
      <c r="E219">
        <v>2792.48</v>
      </c>
      <c r="F219">
        <v>0</v>
      </c>
      <c r="G219">
        <v>140005894</v>
      </c>
      <c r="H219" s="1">
        <v>45385</v>
      </c>
      <c r="I219">
        <f>YEAR(Table1[[#This Row],[Posting Date]])</f>
        <v>2024</v>
      </c>
      <c r="J219">
        <f>MONTH(Table1[[#This Row],[Posting Date]])</f>
        <v>4</v>
      </c>
      <c r="K219" t="str">
        <f>IF(Table1[[#This Row],[Type]]="IN",VLOOKUP(Table1[[#This Row],[Cust '#]],ClientInfo!$A:$D,4,0),"")</f>
        <v>NET30</v>
      </c>
      <c r="L219" s="1">
        <f>IF(K219="NET30",Table1[[#This Row],[Posting Date]]+30,IF(K219="NET15",Table1[[#This Row],[Posting Date]]+15,IF(K219="COD",Table1[[#This Row],[Posting Date]],"")))</f>
        <v>45415</v>
      </c>
      <c r="M219" s="4">
        <f>IFERROR(IF(Table1[[#This Row],[Type]]="IN",Table1[[#This Row],[RC Date]]-Table1[[#This Row],[Posting Date]],""),"")</f>
        <v>0</v>
      </c>
      <c r="N219">
        <f>IFERROR(IF(Table1[[#This Row],[Balance Due (LC)]]&lt;&gt;0,$S$1-L219,0),"")</f>
        <v>0</v>
      </c>
      <c r="O219">
        <f>IFERROR(IF(Table1[[#This Row],[Type]]="IN",Table1[[#This Row],[C/D (LC)]],IF(Table1[[#This Row],[Type]]="CN",Table1[[#This Row],[C/D (LC)]],"")),"")</f>
        <v>2792.48</v>
      </c>
      <c r="P219" t="str">
        <f>VLOOKUP(Table1[[#This Row],[Cust '#]],ClientInfo!$A:$B,2,0)</f>
        <v>Client_04</v>
      </c>
    </row>
    <row r="220" spans="1:16">
      <c r="A220" t="s">
        <v>110</v>
      </c>
      <c r="B220" t="s">
        <v>12</v>
      </c>
      <c r="C220">
        <v>140005894</v>
      </c>
      <c r="D220" s="1">
        <v>45385</v>
      </c>
      <c r="E220">
        <v>-2792.48</v>
      </c>
      <c r="F220">
        <v>0</v>
      </c>
      <c r="G220">
        <v>140005894</v>
      </c>
      <c r="H220" s="1">
        <v>45385</v>
      </c>
      <c r="I220">
        <f>YEAR(Table1[[#This Row],[Posting Date]])</f>
        <v>2024</v>
      </c>
      <c r="J220">
        <f>MONTH(Table1[[#This Row],[Posting Date]])</f>
        <v>4</v>
      </c>
      <c r="K220" t="str">
        <f>IF(Table1[[#This Row],[Type]]="IN",VLOOKUP(Table1[[#This Row],[Cust '#]],ClientInfo!$A:$D,4,0),"")</f>
        <v>NET30</v>
      </c>
      <c r="L220" s="1">
        <f>IF(K220="NET30",Table1[[#This Row],[Posting Date]]+30,IF(K220="NET15",Table1[[#This Row],[Posting Date]]+15,IF(K220="COD",Table1[[#This Row],[Posting Date]],"")))</f>
        <v>45415</v>
      </c>
      <c r="M220" s="4">
        <f>IFERROR(IF(Table1[[#This Row],[Type]]="IN",Table1[[#This Row],[RC Date]]-Table1[[#This Row],[Posting Date]],""),"")</f>
        <v>0</v>
      </c>
      <c r="N220">
        <f>IFERROR(IF(Table1[[#This Row],[Balance Due (LC)]]&lt;&gt;0,$S$1-L220,0),"")</f>
        <v>0</v>
      </c>
      <c r="O220">
        <f>IFERROR(IF(Table1[[#This Row],[Type]]="IN",Table1[[#This Row],[C/D (LC)]],IF(Table1[[#This Row],[Type]]="CN",Table1[[#This Row],[C/D (LC)]],"")),"")</f>
        <v>-2792.48</v>
      </c>
      <c r="P220" t="str">
        <f>VLOOKUP(Table1[[#This Row],[Cust '#]],ClientInfo!$A:$B,2,0)</f>
        <v>Client_04</v>
      </c>
    </row>
    <row r="221" spans="1:16">
      <c r="A221" t="s">
        <v>110</v>
      </c>
      <c r="B221" t="s">
        <v>12</v>
      </c>
      <c r="C221">
        <v>140005895</v>
      </c>
      <c r="D221" s="1">
        <v>45385</v>
      </c>
      <c r="E221">
        <v>200</v>
      </c>
      <c r="F221">
        <v>0</v>
      </c>
      <c r="G221">
        <v>700000401</v>
      </c>
      <c r="H221" s="1">
        <v>45394</v>
      </c>
      <c r="I221">
        <f>YEAR(Table1[[#This Row],[Posting Date]])</f>
        <v>2024</v>
      </c>
      <c r="J221">
        <f>MONTH(Table1[[#This Row],[Posting Date]])</f>
        <v>4</v>
      </c>
      <c r="K221" t="str">
        <f>IF(Table1[[#This Row],[Type]]="IN",VLOOKUP(Table1[[#This Row],[Cust '#]],ClientInfo!$A:$D,4,0),"")</f>
        <v>NET30</v>
      </c>
      <c r="L221" s="1">
        <f>IF(K221="NET30",Table1[[#This Row],[Posting Date]]+30,IF(K221="NET15",Table1[[#This Row],[Posting Date]]+15,IF(K221="COD",Table1[[#This Row],[Posting Date]],"")))</f>
        <v>45415</v>
      </c>
      <c r="M221" s="4">
        <f>IFERROR(IF(Table1[[#This Row],[Type]]="IN",Table1[[#This Row],[RC Date]]-Table1[[#This Row],[Posting Date]],""),"")</f>
        <v>9</v>
      </c>
      <c r="N221">
        <f>IFERROR(IF(Table1[[#This Row],[Balance Due (LC)]]&lt;&gt;0,$S$1-L221,0),"")</f>
        <v>0</v>
      </c>
      <c r="O221">
        <f>IFERROR(IF(Table1[[#This Row],[Type]]="IN",Table1[[#This Row],[C/D (LC)]],IF(Table1[[#This Row],[Type]]="CN",Table1[[#This Row],[C/D (LC)]],"")),"")</f>
        <v>200</v>
      </c>
      <c r="P221" t="str">
        <f>VLOOKUP(Table1[[#This Row],[Cust '#]],ClientInfo!$A:$B,2,0)</f>
        <v>Client_04</v>
      </c>
    </row>
    <row r="222" spans="1:16">
      <c r="A222" t="s">
        <v>110</v>
      </c>
      <c r="B222" t="s">
        <v>12</v>
      </c>
      <c r="C222">
        <v>140005896</v>
      </c>
      <c r="D222" s="1">
        <v>45385</v>
      </c>
      <c r="E222">
        <v>2592.48</v>
      </c>
      <c r="F222">
        <v>0</v>
      </c>
      <c r="G222">
        <v>700000401</v>
      </c>
      <c r="H222" s="1">
        <v>45394</v>
      </c>
      <c r="I222">
        <f>YEAR(Table1[[#This Row],[Posting Date]])</f>
        <v>2024</v>
      </c>
      <c r="J222">
        <f>MONTH(Table1[[#This Row],[Posting Date]])</f>
        <v>4</v>
      </c>
      <c r="K222" t="str">
        <f>IF(Table1[[#This Row],[Type]]="IN",VLOOKUP(Table1[[#This Row],[Cust '#]],ClientInfo!$A:$D,4,0),"")</f>
        <v>NET30</v>
      </c>
      <c r="L222" s="1">
        <f>IF(K222="NET30",Table1[[#This Row],[Posting Date]]+30,IF(K222="NET15",Table1[[#This Row],[Posting Date]]+15,IF(K222="COD",Table1[[#This Row],[Posting Date]],"")))</f>
        <v>45415</v>
      </c>
      <c r="M222" s="4">
        <f>IFERROR(IF(Table1[[#This Row],[Type]]="IN",Table1[[#This Row],[RC Date]]-Table1[[#This Row],[Posting Date]],""),"")</f>
        <v>9</v>
      </c>
      <c r="N222">
        <f>IFERROR(IF(Table1[[#This Row],[Balance Due (LC)]]&lt;&gt;0,$S$1-L222,0),"")</f>
        <v>0</v>
      </c>
      <c r="O222">
        <f>IFERROR(IF(Table1[[#This Row],[Type]]="IN",Table1[[#This Row],[C/D (LC)]],IF(Table1[[#This Row],[Type]]="CN",Table1[[#This Row],[C/D (LC)]],"")),"")</f>
        <v>2592.48</v>
      </c>
      <c r="P222" t="str">
        <f>VLOOKUP(Table1[[#This Row],[Cust '#]],ClientInfo!$A:$B,2,0)</f>
        <v>Client_04</v>
      </c>
    </row>
    <row r="223" spans="1:16">
      <c r="A223" t="s">
        <v>110</v>
      </c>
      <c r="B223" t="s">
        <v>10</v>
      </c>
      <c r="C223">
        <v>700000366</v>
      </c>
      <c r="D223" s="1">
        <v>45390</v>
      </c>
      <c r="E223">
        <v>-4647.5</v>
      </c>
      <c r="F223">
        <v>0</v>
      </c>
      <c r="G223">
        <v>700000366</v>
      </c>
      <c r="H223" s="1">
        <v>45390</v>
      </c>
      <c r="I223">
        <f>YEAR(Table1[[#This Row],[Posting Date]])</f>
        <v>2024</v>
      </c>
      <c r="J223">
        <f>MONTH(Table1[[#This Row],[Posting Date]])</f>
        <v>4</v>
      </c>
      <c r="K223" t="str">
        <f>IF(Table1[[#This Row],[Type]]="IN",VLOOKUP(Table1[[#This Row],[Cust '#]],ClientInfo!$A:$D,4,0),"")</f>
        <v/>
      </c>
      <c r="L223" s="1" t="str">
        <f>IF(K223="NET30",Table1[[#This Row],[Posting Date]]+30,IF(K223="NET15",Table1[[#This Row],[Posting Date]]+15,IF(K223="COD",Table1[[#This Row],[Posting Date]],"")))</f>
        <v/>
      </c>
      <c r="M223" s="4" t="str">
        <f>IFERROR(IF(Table1[[#This Row],[Type]]="IN",Table1[[#This Row],[RC Date]]-Table1[[#This Row],[Posting Date]],""),"")</f>
        <v/>
      </c>
      <c r="N223">
        <f>IFERROR(IF(Table1[[#This Row],[Balance Due (LC)]]&lt;&gt;0,$S$1-L223,0),"")</f>
        <v>0</v>
      </c>
      <c r="O223" t="str">
        <f>IFERROR(IF(Table1[[#This Row],[Type]]="IN",Table1[[#This Row],[C/D (LC)]],IF(Table1[[#This Row],[Type]]="CN",Table1[[#This Row],[C/D (LC)]],"")),"")</f>
        <v/>
      </c>
      <c r="P223" t="str">
        <f>VLOOKUP(Table1[[#This Row],[Cust '#]],ClientInfo!$A:$B,2,0)</f>
        <v>Client_04</v>
      </c>
    </row>
    <row r="224" spans="1:16">
      <c r="A224" t="s">
        <v>110</v>
      </c>
      <c r="B224" t="s">
        <v>12</v>
      </c>
      <c r="C224">
        <v>140006200</v>
      </c>
      <c r="D224" s="1">
        <v>45392</v>
      </c>
      <c r="E224">
        <v>3967.1</v>
      </c>
      <c r="F224">
        <v>0</v>
      </c>
      <c r="G224">
        <v>700000466</v>
      </c>
      <c r="H224" s="1">
        <v>45404</v>
      </c>
      <c r="I224">
        <f>YEAR(Table1[[#This Row],[Posting Date]])</f>
        <v>2024</v>
      </c>
      <c r="J224">
        <f>MONTH(Table1[[#This Row],[Posting Date]])</f>
        <v>4</v>
      </c>
      <c r="K224" t="str">
        <f>IF(Table1[[#This Row],[Type]]="IN",VLOOKUP(Table1[[#This Row],[Cust '#]],ClientInfo!$A:$D,4,0),"")</f>
        <v>NET30</v>
      </c>
      <c r="L224" s="1">
        <f>IF(K224="NET30",Table1[[#This Row],[Posting Date]]+30,IF(K224="NET15",Table1[[#This Row],[Posting Date]]+15,IF(K224="COD",Table1[[#This Row],[Posting Date]],"")))</f>
        <v>45422</v>
      </c>
      <c r="M224" s="4">
        <f>IFERROR(IF(Table1[[#This Row],[Type]]="IN",Table1[[#This Row],[RC Date]]-Table1[[#This Row],[Posting Date]],""),"")</f>
        <v>12</v>
      </c>
      <c r="N224">
        <f>IFERROR(IF(Table1[[#This Row],[Balance Due (LC)]]&lt;&gt;0,$S$1-L224,0),"")</f>
        <v>0</v>
      </c>
      <c r="O224">
        <f>IFERROR(IF(Table1[[#This Row],[Type]]="IN",Table1[[#This Row],[C/D (LC)]],IF(Table1[[#This Row],[Type]]="CN",Table1[[#This Row],[C/D (LC)]],"")),"")</f>
        <v>3967.1</v>
      </c>
      <c r="P224" t="str">
        <f>VLOOKUP(Table1[[#This Row],[Cust '#]],ClientInfo!$A:$B,2,0)</f>
        <v>Client_04</v>
      </c>
    </row>
    <row r="225" spans="1:16">
      <c r="A225" t="s">
        <v>110</v>
      </c>
      <c r="B225" t="s">
        <v>10</v>
      </c>
      <c r="C225">
        <v>700000401</v>
      </c>
      <c r="D225" s="1">
        <v>45394</v>
      </c>
      <c r="E225">
        <v>-2792.48</v>
      </c>
      <c r="F225">
        <v>0</v>
      </c>
      <c r="G225">
        <v>700000401</v>
      </c>
      <c r="H225" s="1">
        <v>45394</v>
      </c>
      <c r="I225">
        <f>YEAR(Table1[[#This Row],[Posting Date]])</f>
        <v>2024</v>
      </c>
      <c r="J225">
        <f>MONTH(Table1[[#This Row],[Posting Date]])</f>
        <v>4</v>
      </c>
      <c r="K225" t="str">
        <f>IF(Table1[[#This Row],[Type]]="IN",VLOOKUP(Table1[[#This Row],[Cust '#]],ClientInfo!$A:$D,4,0),"")</f>
        <v/>
      </c>
      <c r="L225" s="1" t="str">
        <f>IF(K225="NET30",Table1[[#This Row],[Posting Date]]+30,IF(K225="NET15",Table1[[#This Row],[Posting Date]]+15,IF(K225="COD",Table1[[#This Row],[Posting Date]],"")))</f>
        <v/>
      </c>
      <c r="M225" s="4" t="str">
        <f>IFERROR(IF(Table1[[#This Row],[Type]]="IN",Table1[[#This Row],[RC Date]]-Table1[[#This Row],[Posting Date]],""),"")</f>
        <v/>
      </c>
      <c r="N225">
        <f>IFERROR(IF(Table1[[#This Row],[Balance Due (LC)]]&lt;&gt;0,$S$1-L225,0),"")</f>
        <v>0</v>
      </c>
      <c r="O225" t="str">
        <f>IFERROR(IF(Table1[[#This Row],[Type]]="IN",Table1[[#This Row],[C/D (LC)]],IF(Table1[[#This Row],[Type]]="CN",Table1[[#This Row],[C/D (LC)]],"")),"")</f>
        <v/>
      </c>
      <c r="P225" t="str">
        <f>VLOOKUP(Table1[[#This Row],[Cust '#]],ClientInfo!$A:$B,2,0)</f>
        <v>Client_04</v>
      </c>
    </row>
    <row r="226" spans="1:16">
      <c r="A226" t="s">
        <v>110</v>
      </c>
      <c r="B226" t="s">
        <v>12</v>
      </c>
      <c r="C226">
        <v>140006531</v>
      </c>
      <c r="D226" s="1">
        <v>45399</v>
      </c>
      <c r="E226">
        <v>3871.4</v>
      </c>
      <c r="F226">
        <v>0</v>
      </c>
      <c r="G226">
        <v>700000528</v>
      </c>
      <c r="H226" s="1">
        <v>45412</v>
      </c>
      <c r="I226">
        <f>YEAR(Table1[[#This Row],[Posting Date]])</f>
        <v>2024</v>
      </c>
      <c r="J226">
        <f>MONTH(Table1[[#This Row],[Posting Date]])</f>
        <v>4</v>
      </c>
      <c r="K226" t="str">
        <f>IF(Table1[[#This Row],[Type]]="IN",VLOOKUP(Table1[[#This Row],[Cust '#]],ClientInfo!$A:$D,4,0),"")</f>
        <v>NET30</v>
      </c>
      <c r="L226" s="1">
        <f>IF(K226="NET30",Table1[[#This Row],[Posting Date]]+30,IF(K226="NET15",Table1[[#This Row],[Posting Date]]+15,IF(K226="COD",Table1[[#This Row],[Posting Date]],"")))</f>
        <v>45429</v>
      </c>
      <c r="M226" s="4">
        <f>IFERROR(IF(Table1[[#This Row],[Type]]="IN",Table1[[#This Row],[RC Date]]-Table1[[#This Row],[Posting Date]],""),"")</f>
        <v>13</v>
      </c>
      <c r="N226">
        <f>IFERROR(IF(Table1[[#This Row],[Balance Due (LC)]]&lt;&gt;0,$S$1-L226,0),"")</f>
        <v>0</v>
      </c>
      <c r="O226">
        <f>IFERROR(IF(Table1[[#This Row],[Type]]="IN",Table1[[#This Row],[C/D (LC)]],IF(Table1[[#This Row],[Type]]="CN",Table1[[#This Row],[C/D (LC)]],"")),"")</f>
        <v>3871.4</v>
      </c>
      <c r="P226" t="str">
        <f>VLOOKUP(Table1[[#This Row],[Cust '#]],ClientInfo!$A:$B,2,0)</f>
        <v>Client_04</v>
      </c>
    </row>
    <row r="227" spans="1:16">
      <c r="A227" t="s">
        <v>110</v>
      </c>
      <c r="B227" t="s">
        <v>12</v>
      </c>
      <c r="C227">
        <v>140006532</v>
      </c>
      <c r="D227" s="1">
        <v>45399</v>
      </c>
      <c r="E227">
        <v>180</v>
      </c>
      <c r="F227">
        <v>0</v>
      </c>
      <c r="G227">
        <v>700000528</v>
      </c>
      <c r="H227" s="1">
        <v>45412</v>
      </c>
      <c r="I227">
        <f>YEAR(Table1[[#This Row],[Posting Date]])</f>
        <v>2024</v>
      </c>
      <c r="J227">
        <f>MONTH(Table1[[#This Row],[Posting Date]])</f>
        <v>4</v>
      </c>
      <c r="K227" t="str">
        <f>IF(Table1[[#This Row],[Type]]="IN",VLOOKUP(Table1[[#This Row],[Cust '#]],ClientInfo!$A:$D,4,0),"")</f>
        <v>NET30</v>
      </c>
      <c r="L227" s="1">
        <f>IF(K227="NET30",Table1[[#This Row],[Posting Date]]+30,IF(K227="NET15",Table1[[#This Row],[Posting Date]]+15,IF(K227="COD",Table1[[#This Row],[Posting Date]],"")))</f>
        <v>45429</v>
      </c>
      <c r="M227" s="4">
        <f>IFERROR(IF(Table1[[#This Row],[Type]]="IN",Table1[[#This Row],[RC Date]]-Table1[[#This Row],[Posting Date]],""),"")</f>
        <v>13</v>
      </c>
      <c r="N227">
        <f>IFERROR(IF(Table1[[#This Row],[Balance Due (LC)]]&lt;&gt;0,$S$1-L227,0),"")</f>
        <v>0</v>
      </c>
      <c r="O227">
        <f>IFERROR(IF(Table1[[#This Row],[Type]]="IN",Table1[[#This Row],[C/D (LC)]],IF(Table1[[#This Row],[Type]]="CN",Table1[[#This Row],[C/D (LC)]],"")),"")</f>
        <v>180</v>
      </c>
      <c r="P227" t="str">
        <f>VLOOKUP(Table1[[#This Row],[Cust '#]],ClientInfo!$A:$B,2,0)</f>
        <v>Client_04</v>
      </c>
    </row>
    <row r="228" spans="1:16">
      <c r="A228" t="s">
        <v>110</v>
      </c>
      <c r="B228" t="s">
        <v>10</v>
      </c>
      <c r="C228">
        <v>700000466</v>
      </c>
      <c r="D228" s="1">
        <v>45404</v>
      </c>
      <c r="E228">
        <v>-3967.1</v>
      </c>
      <c r="F228">
        <v>0</v>
      </c>
      <c r="G228">
        <v>700000466</v>
      </c>
      <c r="H228" s="1">
        <v>45404</v>
      </c>
      <c r="I228">
        <f>YEAR(Table1[[#This Row],[Posting Date]])</f>
        <v>2024</v>
      </c>
      <c r="J228">
        <f>MONTH(Table1[[#This Row],[Posting Date]])</f>
        <v>4</v>
      </c>
      <c r="K228" t="str">
        <f>IF(Table1[[#This Row],[Type]]="IN",VLOOKUP(Table1[[#This Row],[Cust '#]],ClientInfo!$A:$D,4,0),"")</f>
        <v/>
      </c>
      <c r="L228" s="1" t="str">
        <f>IF(K228="NET30",Table1[[#This Row],[Posting Date]]+30,IF(K228="NET15",Table1[[#This Row],[Posting Date]]+15,IF(K228="COD",Table1[[#This Row],[Posting Date]],"")))</f>
        <v/>
      </c>
      <c r="M228" s="4" t="str">
        <f>IFERROR(IF(Table1[[#This Row],[Type]]="IN",Table1[[#This Row],[RC Date]]-Table1[[#This Row],[Posting Date]],""),"")</f>
        <v/>
      </c>
      <c r="N228">
        <f>IFERROR(IF(Table1[[#This Row],[Balance Due (LC)]]&lt;&gt;0,$S$1-L228,0),"")</f>
        <v>0</v>
      </c>
      <c r="O228" t="str">
        <f>IFERROR(IF(Table1[[#This Row],[Type]]="IN",Table1[[#This Row],[C/D (LC)]],IF(Table1[[#This Row],[Type]]="CN",Table1[[#This Row],[C/D (LC)]],"")),"")</f>
        <v/>
      </c>
      <c r="P228" t="str">
        <f>VLOOKUP(Table1[[#This Row],[Cust '#]],ClientInfo!$A:$B,2,0)</f>
        <v>Client_04</v>
      </c>
    </row>
    <row r="229" spans="1:16">
      <c r="A229" t="s">
        <v>110</v>
      </c>
      <c r="B229" t="s">
        <v>12</v>
      </c>
      <c r="C229">
        <v>140006852</v>
      </c>
      <c r="D229" s="1">
        <v>45406</v>
      </c>
      <c r="E229">
        <v>8888.48</v>
      </c>
      <c r="F229">
        <v>0</v>
      </c>
      <c r="G229">
        <v>700000556</v>
      </c>
      <c r="H229" s="1">
        <v>45415</v>
      </c>
      <c r="I229">
        <f>YEAR(Table1[[#This Row],[Posting Date]])</f>
        <v>2024</v>
      </c>
      <c r="J229">
        <f>MONTH(Table1[[#This Row],[Posting Date]])</f>
        <v>4</v>
      </c>
      <c r="K229" t="str">
        <f>IF(Table1[[#This Row],[Type]]="IN",VLOOKUP(Table1[[#This Row],[Cust '#]],ClientInfo!$A:$D,4,0),"")</f>
        <v>NET30</v>
      </c>
      <c r="L229" s="1">
        <f>IF(K229="NET30",Table1[[#This Row],[Posting Date]]+30,IF(K229="NET15",Table1[[#This Row],[Posting Date]]+15,IF(K229="COD",Table1[[#This Row],[Posting Date]],"")))</f>
        <v>45436</v>
      </c>
      <c r="M229" s="4">
        <f>IFERROR(IF(Table1[[#This Row],[Type]]="IN",Table1[[#This Row],[RC Date]]-Table1[[#This Row],[Posting Date]],""),"")</f>
        <v>9</v>
      </c>
      <c r="N229">
        <f>IFERROR(IF(Table1[[#This Row],[Balance Due (LC)]]&lt;&gt;0,$S$1-L229,0),"")</f>
        <v>0</v>
      </c>
      <c r="O229">
        <f>IFERROR(IF(Table1[[#This Row],[Type]]="IN",Table1[[#This Row],[C/D (LC)]],IF(Table1[[#This Row],[Type]]="CN",Table1[[#This Row],[C/D (LC)]],"")),"")</f>
        <v>8888.48</v>
      </c>
      <c r="P229" t="str">
        <f>VLOOKUP(Table1[[#This Row],[Cust '#]],ClientInfo!$A:$B,2,0)</f>
        <v>Client_04</v>
      </c>
    </row>
    <row r="230" spans="1:16">
      <c r="A230" t="s">
        <v>110</v>
      </c>
      <c r="B230" t="s">
        <v>10</v>
      </c>
      <c r="C230">
        <v>700000528</v>
      </c>
      <c r="D230" s="1">
        <v>45412</v>
      </c>
      <c r="E230">
        <v>-4051.4</v>
      </c>
      <c r="F230">
        <v>0</v>
      </c>
      <c r="G230">
        <v>700000528</v>
      </c>
      <c r="H230" s="1">
        <v>45412</v>
      </c>
      <c r="I230">
        <f>YEAR(Table1[[#This Row],[Posting Date]])</f>
        <v>2024</v>
      </c>
      <c r="J230">
        <f>MONTH(Table1[[#This Row],[Posting Date]])</f>
        <v>4</v>
      </c>
      <c r="K230" t="str">
        <f>IF(Table1[[#This Row],[Type]]="IN",VLOOKUP(Table1[[#This Row],[Cust '#]],ClientInfo!$A:$D,4,0),"")</f>
        <v/>
      </c>
      <c r="L230" s="1" t="str">
        <f>IF(K230="NET30",Table1[[#This Row],[Posting Date]]+30,IF(K230="NET15",Table1[[#This Row],[Posting Date]]+15,IF(K230="COD",Table1[[#This Row],[Posting Date]],"")))</f>
        <v/>
      </c>
      <c r="M230" s="4" t="str">
        <f>IFERROR(IF(Table1[[#This Row],[Type]]="IN",Table1[[#This Row],[RC Date]]-Table1[[#This Row],[Posting Date]],""),"")</f>
        <v/>
      </c>
      <c r="N230">
        <f>IFERROR(IF(Table1[[#This Row],[Balance Due (LC)]]&lt;&gt;0,$S$1-L230,0),"")</f>
        <v>0</v>
      </c>
      <c r="O230" t="str">
        <f>IFERROR(IF(Table1[[#This Row],[Type]]="IN",Table1[[#This Row],[C/D (LC)]],IF(Table1[[#This Row],[Type]]="CN",Table1[[#This Row],[C/D (LC)]],"")),"")</f>
        <v/>
      </c>
      <c r="P230" t="str">
        <f>VLOOKUP(Table1[[#This Row],[Cust '#]],ClientInfo!$A:$B,2,0)</f>
        <v>Client_04</v>
      </c>
    </row>
    <row r="231" spans="1:16">
      <c r="A231" t="s">
        <v>110</v>
      </c>
      <c r="B231" t="s">
        <v>12</v>
      </c>
      <c r="C231">
        <v>140007225</v>
      </c>
      <c r="D231" s="1">
        <v>45413</v>
      </c>
      <c r="E231">
        <v>4592.8</v>
      </c>
      <c r="F231">
        <v>0</v>
      </c>
      <c r="G231">
        <v>700000610</v>
      </c>
      <c r="H231" s="1">
        <v>45422</v>
      </c>
      <c r="I231">
        <f>YEAR(Table1[[#This Row],[Posting Date]])</f>
        <v>2024</v>
      </c>
      <c r="J231">
        <f>MONTH(Table1[[#This Row],[Posting Date]])</f>
        <v>5</v>
      </c>
      <c r="K231" t="str">
        <f>IF(Table1[[#This Row],[Type]]="IN",VLOOKUP(Table1[[#This Row],[Cust '#]],ClientInfo!$A:$D,4,0),"")</f>
        <v>NET30</v>
      </c>
      <c r="L231" s="1">
        <f>IF(K231="NET30",Table1[[#This Row],[Posting Date]]+30,IF(K231="NET15",Table1[[#This Row],[Posting Date]]+15,IF(K231="COD",Table1[[#This Row],[Posting Date]],"")))</f>
        <v>45443</v>
      </c>
      <c r="M231" s="4">
        <f>IFERROR(IF(Table1[[#This Row],[Type]]="IN",Table1[[#This Row],[RC Date]]-Table1[[#This Row],[Posting Date]],""),"")</f>
        <v>9</v>
      </c>
      <c r="N231">
        <f>IFERROR(IF(Table1[[#This Row],[Balance Due (LC)]]&lt;&gt;0,$S$1-L231,0),"")</f>
        <v>0</v>
      </c>
      <c r="O231">
        <f>IFERROR(IF(Table1[[#This Row],[Type]]="IN",Table1[[#This Row],[C/D (LC)]],IF(Table1[[#This Row],[Type]]="CN",Table1[[#This Row],[C/D (LC)]],"")),"")</f>
        <v>4592.8</v>
      </c>
      <c r="P231" t="str">
        <f>VLOOKUP(Table1[[#This Row],[Cust '#]],ClientInfo!$A:$B,2,0)</f>
        <v>Client_04</v>
      </c>
    </row>
    <row r="232" spans="1:16">
      <c r="A232" t="s">
        <v>110</v>
      </c>
      <c r="B232" t="s">
        <v>10</v>
      </c>
      <c r="C232">
        <v>700000556</v>
      </c>
      <c r="D232" s="1">
        <v>45415</v>
      </c>
      <c r="E232">
        <v>-8888.48</v>
      </c>
      <c r="F232">
        <v>0</v>
      </c>
      <c r="G232">
        <v>700000556</v>
      </c>
      <c r="H232" s="1">
        <v>45415</v>
      </c>
      <c r="I232">
        <f>YEAR(Table1[[#This Row],[Posting Date]])</f>
        <v>2024</v>
      </c>
      <c r="J232">
        <f>MONTH(Table1[[#This Row],[Posting Date]])</f>
        <v>5</v>
      </c>
      <c r="K232" t="str">
        <f>IF(Table1[[#This Row],[Type]]="IN",VLOOKUP(Table1[[#This Row],[Cust '#]],ClientInfo!$A:$D,4,0),"")</f>
        <v/>
      </c>
      <c r="L232" s="1" t="str">
        <f>IF(K232="NET30",Table1[[#This Row],[Posting Date]]+30,IF(K232="NET15",Table1[[#This Row],[Posting Date]]+15,IF(K232="COD",Table1[[#This Row],[Posting Date]],"")))</f>
        <v/>
      </c>
      <c r="M232" s="4" t="str">
        <f>IFERROR(IF(Table1[[#This Row],[Type]]="IN",Table1[[#This Row],[RC Date]]-Table1[[#This Row],[Posting Date]],""),"")</f>
        <v/>
      </c>
      <c r="N232">
        <f>IFERROR(IF(Table1[[#This Row],[Balance Due (LC)]]&lt;&gt;0,$S$1-L232,0),"")</f>
        <v>0</v>
      </c>
      <c r="O232" t="str">
        <f>IFERROR(IF(Table1[[#This Row],[Type]]="IN",Table1[[#This Row],[C/D (LC)]],IF(Table1[[#This Row],[Type]]="CN",Table1[[#This Row],[C/D (LC)]],"")),"")</f>
        <v/>
      </c>
      <c r="P232" t="str">
        <f>VLOOKUP(Table1[[#This Row],[Cust '#]],ClientInfo!$A:$B,2,0)</f>
        <v>Client_04</v>
      </c>
    </row>
    <row r="233" spans="1:16">
      <c r="A233" t="s">
        <v>110</v>
      </c>
      <c r="B233" t="s">
        <v>12</v>
      </c>
      <c r="C233">
        <v>140007528</v>
      </c>
      <c r="D233" s="1">
        <v>45420</v>
      </c>
      <c r="E233">
        <v>3800.8</v>
      </c>
      <c r="F233">
        <v>0</v>
      </c>
      <c r="G233">
        <v>700000666</v>
      </c>
      <c r="H233" s="1">
        <v>45429</v>
      </c>
      <c r="I233">
        <f>YEAR(Table1[[#This Row],[Posting Date]])</f>
        <v>2024</v>
      </c>
      <c r="J233">
        <f>MONTH(Table1[[#This Row],[Posting Date]])</f>
        <v>5</v>
      </c>
      <c r="K233" t="str">
        <f>IF(Table1[[#This Row],[Type]]="IN",VLOOKUP(Table1[[#This Row],[Cust '#]],ClientInfo!$A:$D,4,0),"")</f>
        <v>NET30</v>
      </c>
      <c r="L233" s="1">
        <f>IF(K233="NET30",Table1[[#This Row],[Posting Date]]+30,IF(K233="NET15",Table1[[#This Row],[Posting Date]]+15,IF(K233="COD",Table1[[#This Row],[Posting Date]],"")))</f>
        <v>45450</v>
      </c>
      <c r="M233" s="4">
        <f>IFERROR(IF(Table1[[#This Row],[Type]]="IN",Table1[[#This Row],[RC Date]]-Table1[[#This Row],[Posting Date]],""),"")</f>
        <v>9</v>
      </c>
      <c r="N233">
        <f>IFERROR(IF(Table1[[#This Row],[Balance Due (LC)]]&lt;&gt;0,$S$1-L233,0),"")</f>
        <v>0</v>
      </c>
      <c r="O233">
        <f>IFERROR(IF(Table1[[#This Row],[Type]]="IN",Table1[[#This Row],[C/D (LC)]],IF(Table1[[#This Row],[Type]]="CN",Table1[[#This Row],[C/D (LC)]],"")),"")</f>
        <v>3800.8</v>
      </c>
      <c r="P233" t="str">
        <f>VLOOKUP(Table1[[#This Row],[Cust '#]],ClientInfo!$A:$B,2,0)</f>
        <v>Client_04</v>
      </c>
    </row>
    <row r="234" spans="1:16">
      <c r="A234" t="s">
        <v>110</v>
      </c>
      <c r="B234" t="s">
        <v>12</v>
      </c>
      <c r="C234">
        <v>140007529</v>
      </c>
      <c r="D234" s="1">
        <v>45420</v>
      </c>
      <c r="E234">
        <v>62</v>
      </c>
      <c r="F234">
        <v>0</v>
      </c>
      <c r="G234">
        <v>700000666</v>
      </c>
      <c r="H234" s="1">
        <v>45429</v>
      </c>
      <c r="I234">
        <f>YEAR(Table1[[#This Row],[Posting Date]])</f>
        <v>2024</v>
      </c>
      <c r="J234">
        <f>MONTH(Table1[[#This Row],[Posting Date]])</f>
        <v>5</v>
      </c>
      <c r="K234" t="str">
        <f>IF(Table1[[#This Row],[Type]]="IN",VLOOKUP(Table1[[#This Row],[Cust '#]],ClientInfo!$A:$D,4,0),"")</f>
        <v>NET30</v>
      </c>
      <c r="L234" s="1">
        <f>IF(K234="NET30",Table1[[#This Row],[Posting Date]]+30,IF(K234="NET15",Table1[[#This Row],[Posting Date]]+15,IF(K234="COD",Table1[[#This Row],[Posting Date]],"")))</f>
        <v>45450</v>
      </c>
      <c r="M234" s="4">
        <f>IFERROR(IF(Table1[[#This Row],[Type]]="IN",Table1[[#This Row],[RC Date]]-Table1[[#This Row],[Posting Date]],""),"")</f>
        <v>9</v>
      </c>
      <c r="N234">
        <f>IFERROR(IF(Table1[[#This Row],[Balance Due (LC)]]&lt;&gt;0,$S$1-L234,0),"")</f>
        <v>0</v>
      </c>
      <c r="O234">
        <f>IFERROR(IF(Table1[[#This Row],[Type]]="IN",Table1[[#This Row],[C/D (LC)]],IF(Table1[[#This Row],[Type]]="CN",Table1[[#This Row],[C/D (LC)]],"")),"")</f>
        <v>62</v>
      </c>
      <c r="P234" t="str">
        <f>VLOOKUP(Table1[[#This Row],[Cust '#]],ClientInfo!$A:$B,2,0)</f>
        <v>Client_04</v>
      </c>
    </row>
    <row r="235" spans="1:16">
      <c r="A235" t="s">
        <v>110</v>
      </c>
      <c r="B235" t="s">
        <v>10</v>
      </c>
      <c r="C235">
        <v>700000610</v>
      </c>
      <c r="D235" s="1">
        <v>45422</v>
      </c>
      <c r="E235">
        <v>-4592.8</v>
      </c>
      <c r="F235">
        <v>0</v>
      </c>
      <c r="G235">
        <v>700000610</v>
      </c>
      <c r="H235" s="1">
        <v>45422</v>
      </c>
      <c r="I235">
        <f>YEAR(Table1[[#This Row],[Posting Date]])</f>
        <v>2024</v>
      </c>
      <c r="J235">
        <f>MONTH(Table1[[#This Row],[Posting Date]])</f>
        <v>5</v>
      </c>
      <c r="K235" t="str">
        <f>IF(Table1[[#This Row],[Type]]="IN",VLOOKUP(Table1[[#This Row],[Cust '#]],ClientInfo!$A:$D,4,0),"")</f>
        <v/>
      </c>
      <c r="L235" s="1" t="str">
        <f>IF(K235="NET30",Table1[[#This Row],[Posting Date]]+30,IF(K235="NET15",Table1[[#This Row],[Posting Date]]+15,IF(K235="COD",Table1[[#This Row],[Posting Date]],"")))</f>
        <v/>
      </c>
      <c r="M235" s="4" t="str">
        <f>IFERROR(IF(Table1[[#This Row],[Type]]="IN",Table1[[#This Row],[RC Date]]-Table1[[#This Row],[Posting Date]],""),"")</f>
        <v/>
      </c>
      <c r="N235">
        <f>IFERROR(IF(Table1[[#This Row],[Balance Due (LC)]]&lt;&gt;0,$S$1-L235,0),"")</f>
        <v>0</v>
      </c>
      <c r="O235" t="str">
        <f>IFERROR(IF(Table1[[#This Row],[Type]]="IN",Table1[[#This Row],[C/D (LC)]],IF(Table1[[#This Row],[Type]]="CN",Table1[[#This Row],[C/D (LC)]],"")),"")</f>
        <v/>
      </c>
      <c r="P235" t="str">
        <f>VLOOKUP(Table1[[#This Row],[Cust '#]],ClientInfo!$A:$B,2,0)</f>
        <v>Client_04</v>
      </c>
    </row>
    <row r="236" spans="1:16">
      <c r="A236" t="s">
        <v>110</v>
      </c>
      <c r="B236" t="s">
        <v>12</v>
      </c>
      <c r="C236">
        <v>140007847</v>
      </c>
      <c r="D236" s="1">
        <v>45427</v>
      </c>
      <c r="E236">
        <v>5545.7</v>
      </c>
      <c r="F236">
        <v>0</v>
      </c>
      <c r="G236">
        <v>700000735</v>
      </c>
      <c r="H236" s="1">
        <v>45440</v>
      </c>
      <c r="I236">
        <f>YEAR(Table1[[#This Row],[Posting Date]])</f>
        <v>2024</v>
      </c>
      <c r="J236">
        <f>MONTH(Table1[[#This Row],[Posting Date]])</f>
        <v>5</v>
      </c>
      <c r="K236" t="str">
        <f>IF(Table1[[#This Row],[Type]]="IN",VLOOKUP(Table1[[#This Row],[Cust '#]],ClientInfo!$A:$D,4,0),"")</f>
        <v>NET30</v>
      </c>
      <c r="L236" s="1">
        <f>IF(K236="NET30",Table1[[#This Row],[Posting Date]]+30,IF(K236="NET15",Table1[[#This Row],[Posting Date]]+15,IF(K236="COD",Table1[[#This Row],[Posting Date]],"")))</f>
        <v>45457</v>
      </c>
      <c r="M236" s="4">
        <f>IFERROR(IF(Table1[[#This Row],[Type]]="IN",Table1[[#This Row],[RC Date]]-Table1[[#This Row],[Posting Date]],""),"")</f>
        <v>13</v>
      </c>
      <c r="N236">
        <f>IFERROR(IF(Table1[[#This Row],[Balance Due (LC)]]&lt;&gt;0,$S$1-L236,0),"")</f>
        <v>0</v>
      </c>
      <c r="O236">
        <f>IFERROR(IF(Table1[[#This Row],[Type]]="IN",Table1[[#This Row],[C/D (LC)]],IF(Table1[[#This Row],[Type]]="CN",Table1[[#This Row],[C/D (LC)]],"")),"")</f>
        <v>5545.7</v>
      </c>
      <c r="P236" t="str">
        <f>VLOOKUP(Table1[[#This Row],[Cust '#]],ClientInfo!$A:$B,2,0)</f>
        <v>Client_04</v>
      </c>
    </row>
    <row r="237" spans="1:16">
      <c r="A237" t="s">
        <v>110</v>
      </c>
      <c r="B237" t="s">
        <v>10</v>
      </c>
      <c r="C237">
        <v>700000666</v>
      </c>
      <c r="D237" s="1">
        <v>45429</v>
      </c>
      <c r="E237">
        <v>-3862.8</v>
      </c>
      <c r="F237">
        <v>0</v>
      </c>
      <c r="G237">
        <v>700000666</v>
      </c>
      <c r="H237" s="1">
        <v>45429</v>
      </c>
      <c r="I237">
        <f>YEAR(Table1[[#This Row],[Posting Date]])</f>
        <v>2024</v>
      </c>
      <c r="J237">
        <f>MONTH(Table1[[#This Row],[Posting Date]])</f>
        <v>5</v>
      </c>
      <c r="K237" t="str">
        <f>IF(Table1[[#This Row],[Type]]="IN",VLOOKUP(Table1[[#This Row],[Cust '#]],ClientInfo!$A:$D,4,0),"")</f>
        <v/>
      </c>
      <c r="L237" s="1" t="str">
        <f>IF(K237="NET30",Table1[[#This Row],[Posting Date]]+30,IF(K237="NET15",Table1[[#This Row],[Posting Date]]+15,IF(K237="COD",Table1[[#This Row],[Posting Date]],"")))</f>
        <v/>
      </c>
      <c r="M237" s="4" t="str">
        <f>IFERROR(IF(Table1[[#This Row],[Type]]="IN",Table1[[#This Row],[RC Date]]-Table1[[#This Row],[Posting Date]],""),"")</f>
        <v/>
      </c>
      <c r="N237">
        <f>IFERROR(IF(Table1[[#This Row],[Balance Due (LC)]]&lt;&gt;0,$S$1-L237,0),"")</f>
        <v>0</v>
      </c>
      <c r="O237" t="str">
        <f>IFERROR(IF(Table1[[#This Row],[Type]]="IN",Table1[[#This Row],[C/D (LC)]],IF(Table1[[#This Row],[Type]]="CN",Table1[[#This Row],[C/D (LC)]],"")),"")</f>
        <v/>
      </c>
      <c r="P237" t="str">
        <f>VLOOKUP(Table1[[#This Row],[Cust '#]],ClientInfo!$A:$B,2,0)</f>
        <v>Client_04</v>
      </c>
    </row>
    <row r="238" spans="1:16">
      <c r="A238" t="s">
        <v>110</v>
      </c>
      <c r="B238" t="s">
        <v>12</v>
      </c>
      <c r="C238">
        <v>140008154</v>
      </c>
      <c r="D238" s="1">
        <v>45434</v>
      </c>
      <c r="E238">
        <v>2694.1</v>
      </c>
      <c r="F238">
        <v>0</v>
      </c>
      <c r="G238">
        <v>700000770</v>
      </c>
      <c r="H238" s="1">
        <v>45443</v>
      </c>
      <c r="I238">
        <f>YEAR(Table1[[#This Row],[Posting Date]])</f>
        <v>2024</v>
      </c>
      <c r="J238">
        <f>MONTH(Table1[[#This Row],[Posting Date]])</f>
        <v>5</v>
      </c>
      <c r="K238" t="str">
        <f>IF(Table1[[#This Row],[Type]]="IN",VLOOKUP(Table1[[#This Row],[Cust '#]],ClientInfo!$A:$D,4,0),"")</f>
        <v>NET30</v>
      </c>
      <c r="L238" s="1">
        <f>IF(K238="NET30",Table1[[#This Row],[Posting Date]]+30,IF(K238="NET15",Table1[[#This Row],[Posting Date]]+15,IF(K238="COD",Table1[[#This Row],[Posting Date]],"")))</f>
        <v>45464</v>
      </c>
      <c r="M238" s="4">
        <f>IFERROR(IF(Table1[[#This Row],[Type]]="IN",Table1[[#This Row],[RC Date]]-Table1[[#This Row],[Posting Date]],""),"")</f>
        <v>9</v>
      </c>
      <c r="N238">
        <f>IFERROR(IF(Table1[[#This Row],[Balance Due (LC)]]&lt;&gt;0,$S$1-L238,0),"")</f>
        <v>0</v>
      </c>
      <c r="O238">
        <f>IFERROR(IF(Table1[[#This Row],[Type]]="IN",Table1[[#This Row],[C/D (LC)]],IF(Table1[[#This Row],[Type]]="CN",Table1[[#This Row],[C/D (LC)]],"")),"")</f>
        <v>2694.1</v>
      </c>
      <c r="P238" t="str">
        <f>VLOOKUP(Table1[[#This Row],[Cust '#]],ClientInfo!$A:$B,2,0)</f>
        <v>Client_04</v>
      </c>
    </row>
    <row r="239" spans="1:16">
      <c r="A239" t="s">
        <v>110</v>
      </c>
      <c r="B239" t="s">
        <v>12</v>
      </c>
      <c r="C239">
        <v>140008168</v>
      </c>
      <c r="D239" s="1">
        <v>45434</v>
      </c>
      <c r="E239">
        <v>112</v>
      </c>
      <c r="F239">
        <v>0</v>
      </c>
      <c r="G239">
        <v>700000770</v>
      </c>
      <c r="H239" s="1">
        <v>45443</v>
      </c>
      <c r="I239">
        <f>YEAR(Table1[[#This Row],[Posting Date]])</f>
        <v>2024</v>
      </c>
      <c r="J239">
        <f>MONTH(Table1[[#This Row],[Posting Date]])</f>
        <v>5</v>
      </c>
      <c r="K239" t="str">
        <f>IF(Table1[[#This Row],[Type]]="IN",VLOOKUP(Table1[[#This Row],[Cust '#]],ClientInfo!$A:$D,4,0),"")</f>
        <v>NET30</v>
      </c>
      <c r="L239" s="1">
        <f>IF(K239="NET30",Table1[[#This Row],[Posting Date]]+30,IF(K239="NET15",Table1[[#This Row],[Posting Date]]+15,IF(K239="COD",Table1[[#This Row],[Posting Date]],"")))</f>
        <v>45464</v>
      </c>
      <c r="M239" s="4">
        <f>IFERROR(IF(Table1[[#This Row],[Type]]="IN",Table1[[#This Row],[RC Date]]-Table1[[#This Row],[Posting Date]],""),"")</f>
        <v>9</v>
      </c>
      <c r="N239">
        <f>IFERROR(IF(Table1[[#This Row],[Balance Due (LC)]]&lt;&gt;0,$S$1-L239,0),"")</f>
        <v>0</v>
      </c>
      <c r="O239">
        <f>IFERROR(IF(Table1[[#This Row],[Type]]="IN",Table1[[#This Row],[C/D (LC)]],IF(Table1[[#This Row],[Type]]="CN",Table1[[#This Row],[C/D (LC)]],"")),"")</f>
        <v>112</v>
      </c>
      <c r="P239" t="str">
        <f>VLOOKUP(Table1[[#This Row],[Cust '#]],ClientInfo!$A:$B,2,0)</f>
        <v>Client_04</v>
      </c>
    </row>
    <row r="240" spans="1:16">
      <c r="A240" t="s">
        <v>110</v>
      </c>
      <c r="B240" t="s">
        <v>10</v>
      </c>
      <c r="C240">
        <v>700000735</v>
      </c>
      <c r="D240" s="1">
        <v>45440</v>
      </c>
      <c r="E240">
        <v>-5545.7</v>
      </c>
      <c r="F240">
        <v>0</v>
      </c>
      <c r="G240">
        <v>700000735</v>
      </c>
      <c r="H240" s="1">
        <v>45440</v>
      </c>
      <c r="I240">
        <f>YEAR(Table1[[#This Row],[Posting Date]])</f>
        <v>2024</v>
      </c>
      <c r="J240">
        <f>MONTH(Table1[[#This Row],[Posting Date]])</f>
        <v>5</v>
      </c>
      <c r="K240" t="str">
        <f>IF(Table1[[#This Row],[Type]]="IN",VLOOKUP(Table1[[#This Row],[Cust '#]],ClientInfo!$A:$D,4,0),"")</f>
        <v/>
      </c>
      <c r="L240" s="1" t="str">
        <f>IF(K240="NET30",Table1[[#This Row],[Posting Date]]+30,IF(K240="NET15",Table1[[#This Row],[Posting Date]]+15,IF(K240="COD",Table1[[#This Row],[Posting Date]],"")))</f>
        <v/>
      </c>
      <c r="M240" s="4" t="str">
        <f>IFERROR(IF(Table1[[#This Row],[Type]]="IN",Table1[[#This Row],[RC Date]]-Table1[[#This Row],[Posting Date]],""),"")</f>
        <v/>
      </c>
      <c r="N240">
        <f>IFERROR(IF(Table1[[#This Row],[Balance Due (LC)]]&lt;&gt;0,$S$1-L240,0),"")</f>
        <v>0</v>
      </c>
      <c r="O240" t="str">
        <f>IFERROR(IF(Table1[[#This Row],[Type]]="IN",Table1[[#This Row],[C/D (LC)]],IF(Table1[[#This Row],[Type]]="CN",Table1[[#This Row],[C/D (LC)]],"")),"")</f>
        <v/>
      </c>
      <c r="P240" t="str">
        <f>VLOOKUP(Table1[[#This Row],[Cust '#]],ClientInfo!$A:$B,2,0)</f>
        <v>Client_04</v>
      </c>
    </row>
    <row r="241" spans="1:16">
      <c r="A241" t="s">
        <v>110</v>
      </c>
      <c r="B241" t="s">
        <v>12</v>
      </c>
      <c r="C241">
        <v>140008467</v>
      </c>
      <c r="D241" s="1">
        <v>45441</v>
      </c>
      <c r="E241">
        <v>2873.2</v>
      </c>
      <c r="F241">
        <v>0</v>
      </c>
      <c r="G241">
        <v>700000848</v>
      </c>
      <c r="H241" s="1">
        <v>45454</v>
      </c>
      <c r="I241">
        <f>YEAR(Table1[[#This Row],[Posting Date]])</f>
        <v>2024</v>
      </c>
      <c r="J241">
        <f>MONTH(Table1[[#This Row],[Posting Date]])</f>
        <v>5</v>
      </c>
      <c r="K241" t="str">
        <f>IF(Table1[[#This Row],[Type]]="IN",VLOOKUP(Table1[[#This Row],[Cust '#]],ClientInfo!$A:$D,4,0),"")</f>
        <v>NET30</v>
      </c>
      <c r="L241" s="1">
        <f>IF(K241="NET30",Table1[[#This Row],[Posting Date]]+30,IF(K241="NET15",Table1[[#This Row],[Posting Date]]+15,IF(K241="COD",Table1[[#This Row],[Posting Date]],"")))</f>
        <v>45471</v>
      </c>
      <c r="M241" s="4">
        <f>IFERROR(IF(Table1[[#This Row],[Type]]="IN",Table1[[#This Row],[RC Date]]-Table1[[#This Row],[Posting Date]],""),"")</f>
        <v>13</v>
      </c>
      <c r="N241">
        <f>IFERROR(IF(Table1[[#This Row],[Balance Due (LC)]]&lt;&gt;0,$S$1-L241,0),"")</f>
        <v>0</v>
      </c>
      <c r="O241">
        <f>IFERROR(IF(Table1[[#This Row],[Type]]="IN",Table1[[#This Row],[C/D (LC)]],IF(Table1[[#This Row],[Type]]="CN",Table1[[#This Row],[C/D (LC)]],"")),"")</f>
        <v>2873.2</v>
      </c>
      <c r="P241" t="str">
        <f>VLOOKUP(Table1[[#This Row],[Cust '#]],ClientInfo!$A:$B,2,0)</f>
        <v>Client_04</v>
      </c>
    </row>
    <row r="242" spans="1:16">
      <c r="A242" t="s">
        <v>110</v>
      </c>
      <c r="B242" t="s">
        <v>10</v>
      </c>
      <c r="C242">
        <v>700000770</v>
      </c>
      <c r="D242" s="1">
        <v>45443</v>
      </c>
      <c r="E242">
        <v>-2806.1</v>
      </c>
      <c r="F242">
        <v>0</v>
      </c>
      <c r="G242">
        <v>700000770</v>
      </c>
      <c r="H242" s="1">
        <v>45443</v>
      </c>
      <c r="I242">
        <f>YEAR(Table1[[#This Row],[Posting Date]])</f>
        <v>2024</v>
      </c>
      <c r="J242">
        <f>MONTH(Table1[[#This Row],[Posting Date]])</f>
        <v>5</v>
      </c>
      <c r="K242" t="str">
        <f>IF(Table1[[#This Row],[Type]]="IN",VLOOKUP(Table1[[#This Row],[Cust '#]],ClientInfo!$A:$D,4,0),"")</f>
        <v/>
      </c>
      <c r="L242" s="1" t="str">
        <f>IF(K242="NET30",Table1[[#This Row],[Posting Date]]+30,IF(K242="NET15",Table1[[#This Row],[Posting Date]]+15,IF(K242="COD",Table1[[#This Row],[Posting Date]],"")))</f>
        <v/>
      </c>
      <c r="M242" s="4" t="str">
        <f>IFERROR(IF(Table1[[#This Row],[Type]]="IN",Table1[[#This Row],[RC Date]]-Table1[[#This Row],[Posting Date]],""),"")</f>
        <v/>
      </c>
      <c r="N242">
        <f>IFERROR(IF(Table1[[#This Row],[Balance Due (LC)]]&lt;&gt;0,$S$1-L242,0),"")</f>
        <v>0</v>
      </c>
      <c r="O242" t="str">
        <f>IFERROR(IF(Table1[[#This Row],[Type]]="IN",Table1[[#This Row],[C/D (LC)]],IF(Table1[[#This Row],[Type]]="CN",Table1[[#This Row],[C/D (LC)]],"")),"")</f>
        <v/>
      </c>
      <c r="P242" t="str">
        <f>VLOOKUP(Table1[[#This Row],[Cust '#]],ClientInfo!$A:$B,2,0)</f>
        <v>Client_04</v>
      </c>
    </row>
    <row r="243" spans="1:16">
      <c r="A243" t="s">
        <v>110</v>
      </c>
      <c r="B243" t="s">
        <v>12</v>
      </c>
      <c r="C243">
        <v>140008800</v>
      </c>
      <c r="D243" s="1">
        <v>45448</v>
      </c>
      <c r="E243">
        <v>2060.6</v>
      </c>
      <c r="F243">
        <v>0</v>
      </c>
      <c r="G243">
        <v>700000886</v>
      </c>
      <c r="H243" s="1">
        <v>45457</v>
      </c>
      <c r="I243">
        <f>YEAR(Table1[[#This Row],[Posting Date]])</f>
        <v>2024</v>
      </c>
      <c r="J243">
        <f>MONTH(Table1[[#This Row],[Posting Date]])</f>
        <v>6</v>
      </c>
      <c r="K243" t="str">
        <f>IF(Table1[[#This Row],[Type]]="IN",VLOOKUP(Table1[[#This Row],[Cust '#]],ClientInfo!$A:$D,4,0),"")</f>
        <v>NET30</v>
      </c>
      <c r="L243" s="1">
        <f>IF(K243="NET30",Table1[[#This Row],[Posting Date]]+30,IF(K243="NET15",Table1[[#This Row],[Posting Date]]+15,IF(K243="COD",Table1[[#This Row],[Posting Date]],"")))</f>
        <v>45478</v>
      </c>
      <c r="M243" s="4">
        <f>IFERROR(IF(Table1[[#This Row],[Type]]="IN",Table1[[#This Row],[RC Date]]-Table1[[#This Row],[Posting Date]],""),"")</f>
        <v>9</v>
      </c>
      <c r="N243">
        <f>IFERROR(IF(Table1[[#This Row],[Balance Due (LC)]]&lt;&gt;0,$S$1-L243,0),"")</f>
        <v>0</v>
      </c>
      <c r="O243">
        <f>IFERROR(IF(Table1[[#This Row],[Type]]="IN",Table1[[#This Row],[C/D (LC)]],IF(Table1[[#This Row],[Type]]="CN",Table1[[#This Row],[C/D (LC)]],"")),"")</f>
        <v>2060.6</v>
      </c>
      <c r="P243" t="str">
        <f>VLOOKUP(Table1[[#This Row],[Cust '#]],ClientInfo!$A:$B,2,0)</f>
        <v>Client_04</v>
      </c>
    </row>
    <row r="244" spans="1:16">
      <c r="A244" t="s">
        <v>110</v>
      </c>
      <c r="B244" t="s">
        <v>12</v>
      </c>
      <c r="C244">
        <v>140008801</v>
      </c>
      <c r="D244" s="1">
        <v>45448</v>
      </c>
      <c r="E244">
        <v>144</v>
      </c>
      <c r="F244">
        <v>0</v>
      </c>
      <c r="G244">
        <v>700000886</v>
      </c>
      <c r="H244" s="1">
        <v>45457</v>
      </c>
      <c r="I244">
        <f>YEAR(Table1[[#This Row],[Posting Date]])</f>
        <v>2024</v>
      </c>
      <c r="J244">
        <f>MONTH(Table1[[#This Row],[Posting Date]])</f>
        <v>6</v>
      </c>
      <c r="K244" t="str">
        <f>IF(Table1[[#This Row],[Type]]="IN",VLOOKUP(Table1[[#This Row],[Cust '#]],ClientInfo!$A:$D,4,0),"")</f>
        <v>NET30</v>
      </c>
      <c r="L244" s="1">
        <f>IF(K244="NET30",Table1[[#This Row],[Posting Date]]+30,IF(K244="NET15",Table1[[#This Row],[Posting Date]]+15,IF(K244="COD",Table1[[#This Row],[Posting Date]],"")))</f>
        <v>45478</v>
      </c>
      <c r="M244" s="4">
        <f>IFERROR(IF(Table1[[#This Row],[Type]]="IN",Table1[[#This Row],[RC Date]]-Table1[[#This Row],[Posting Date]],""),"")</f>
        <v>9</v>
      </c>
      <c r="N244">
        <f>IFERROR(IF(Table1[[#This Row],[Balance Due (LC)]]&lt;&gt;0,$S$1-L244,0),"")</f>
        <v>0</v>
      </c>
      <c r="O244">
        <f>IFERROR(IF(Table1[[#This Row],[Type]]="IN",Table1[[#This Row],[C/D (LC)]],IF(Table1[[#This Row],[Type]]="CN",Table1[[#This Row],[C/D (LC)]],"")),"")</f>
        <v>144</v>
      </c>
      <c r="P244" t="str">
        <f>VLOOKUP(Table1[[#This Row],[Cust '#]],ClientInfo!$A:$B,2,0)</f>
        <v>Client_04</v>
      </c>
    </row>
    <row r="245" spans="1:16">
      <c r="A245" t="s">
        <v>110</v>
      </c>
      <c r="B245" t="s">
        <v>13</v>
      </c>
      <c r="C245">
        <v>150000374</v>
      </c>
      <c r="D245" s="1">
        <v>45448</v>
      </c>
      <c r="E245">
        <v>-26.3</v>
      </c>
      <c r="F245">
        <v>0</v>
      </c>
      <c r="G245">
        <v>700000936</v>
      </c>
      <c r="H245" s="1">
        <v>45467</v>
      </c>
      <c r="I245">
        <f>YEAR(Table1[[#This Row],[Posting Date]])</f>
        <v>2024</v>
      </c>
      <c r="J245">
        <f>MONTH(Table1[[#This Row],[Posting Date]])</f>
        <v>6</v>
      </c>
      <c r="K245" t="str">
        <f>IF(Table1[[#This Row],[Type]]="IN",VLOOKUP(Table1[[#This Row],[Cust '#]],ClientInfo!$A:$D,4,0),"")</f>
        <v/>
      </c>
      <c r="L245" s="1" t="str">
        <f>IF(K245="NET30",Table1[[#This Row],[Posting Date]]+30,IF(K245="NET15",Table1[[#This Row],[Posting Date]]+15,IF(K245="COD",Table1[[#This Row],[Posting Date]],"")))</f>
        <v/>
      </c>
      <c r="M245" s="4" t="str">
        <f>IFERROR(IF(Table1[[#This Row],[Type]]="IN",Table1[[#This Row],[RC Date]]-Table1[[#This Row],[Posting Date]],""),"")</f>
        <v/>
      </c>
      <c r="N245">
        <f>IFERROR(IF(Table1[[#This Row],[Balance Due (LC)]]&lt;&gt;0,$S$1-L245,0),"")</f>
        <v>0</v>
      </c>
      <c r="O245">
        <f>IFERROR(IF(Table1[[#This Row],[Type]]="IN",Table1[[#This Row],[C/D (LC)]],IF(Table1[[#This Row],[Type]]="CN",Table1[[#This Row],[C/D (LC)]],"")),"")</f>
        <v>-26.3</v>
      </c>
      <c r="P245" t="str">
        <f>VLOOKUP(Table1[[#This Row],[Cust '#]],ClientInfo!$A:$B,2,0)</f>
        <v>Client_04</v>
      </c>
    </row>
    <row r="246" spans="1:16">
      <c r="A246" t="s">
        <v>110</v>
      </c>
      <c r="B246" t="s">
        <v>10</v>
      </c>
      <c r="C246">
        <v>700000848</v>
      </c>
      <c r="D246" s="1">
        <v>45454</v>
      </c>
      <c r="E246">
        <v>-2873.2</v>
      </c>
      <c r="F246">
        <v>0</v>
      </c>
      <c r="G246">
        <v>700000848</v>
      </c>
      <c r="H246" s="1">
        <v>45454</v>
      </c>
      <c r="I246">
        <f>YEAR(Table1[[#This Row],[Posting Date]])</f>
        <v>2024</v>
      </c>
      <c r="J246">
        <f>MONTH(Table1[[#This Row],[Posting Date]])</f>
        <v>6</v>
      </c>
      <c r="K246" t="str">
        <f>IF(Table1[[#This Row],[Type]]="IN",VLOOKUP(Table1[[#This Row],[Cust '#]],ClientInfo!$A:$D,4,0),"")</f>
        <v/>
      </c>
      <c r="L246" s="1" t="str">
        <f>IF(K246="NET30",Table1[[#This Row],[Posting Date]]+30,IF(K246="NET15",Table1[[#This Row],[Posting Date]]+15,IF(K246="COD",Table1[[#This Row],[Posting Date]],"")))</f>
        <v/>
      </c>
      <c r="M246" s="4" t="str">
        <f>IFERROR(IF(Table1[[#This Row],[Type]]="IN",Table1[[#This Row],[RC Date]]-Table1[[#This Row],[Posting Date]],""),"")</f>
        <v/>
      </c>
      <c r="N246">
        <f>IFERROR(IF(Table1[[#This Row],[Balance Due (LC)]]&lt;&gt;0,$S$1-L246,0),"")</f>
        <v>0</v>
      </c>
      <c r="O246" t="str">
        <f>IFERROR(IF(Table1[[#This Row],[Type]]="IN",Table1[[#This Row],[C/D (LC)]],IF(Table1[[#This Row],[Type]]="CN",Table1[[#This Row],[C/D (LC)]],"")),"")</f>
        <v/>
      </c>
      <c r="P246" t="str">
        <f>VLOOKUP(Table1[[#This Row],[Cust '#]],ClientInfo!$A:$B,2,0)</f>
        <v>Client_04</v>
      </c>
    </row>
    <row r="247" spans="1:16">
      <c r="A247" t="s">
        <v>110</v>
      </c>
      <c r="B247" t="s">
        <v>12</v>
      </c>
      <c r="C247">
        <v>140009130</v>
      </c>
      <c r="D247" s="1">
        <v>45455</v>
      </c>
      <c r="E247">
        <v>4082.8</v>
      </c>
      <c r="F247">
        <v>0</v>
      </c>
      <c r="G247">
        <v>700000936</v>
      </c>
      <c r="H247" s="1">
        <v>45467</v>
      </c>
      <c r="I247">
        <f>YEAR(Table1[[#This Row],[Posting Date]])</f>
        <v>2024</v>
      </c>
      <c r="J247">
        <f>MONTH(Table1[[#This Row],[Posting Date]])</f>
        <v>6</v>
      </c>
      <c r="K247" t="str">
        <f>IF(Table1[[#This Row],[Type]]="IN",VLOOKUP(Table1[[#This Row],[Cust '#]],ClientInfo!$A:$D,4,0),"")</f>
        <v>NET30</v>
      </c>
      <c r="L247" s="1">
        <f>IF(K247="NET30",Table1[[#This Row],[Posting Date]]+30,IF(K247="NET15",Table1[[#This Row],[Posting Date]]+15,IF(K247="COD",Table1[[#This Row],[Posting Date]],"")))</f>
        <v>45485</v>
      </c>
      <c r="M247" s="4">
        <f>IFERROR(IF(Table1[[#This Row],[Type]]="IN",Table1[[#This Row],[RC Date]]-Table1[[#This Row],[Posting Date]],""),"")</f>
        <v>12</v>
      </c>
      <c r="N247">
        <f>IFERROR(IF(Table1[[#This Row],[Balance Due (LC)]]&lt;&gt;0,$S$1-L247,0),"")</f>
        <v>0</v>
      </c>
      <c r="O247">
        <f>IFERROR(IF(Table1[[#This Row],[Type]]="IN",Table1[[#This Row],[C/D (LC)]],IF(Table1[[#This Row],[Type]]="CN",Table1[[#This Row],[C/D (LC)]],"")),"")</f>
        <v>4082.8</v>
      </c>
      <c r="P247" t="str">
        <f>VLOOKUP(Table1[[#This Row],[Cust '#]],ClientInfo!$A:$B,2,0)</f>
        <v>Client_04</v>
      </c>
    </row>
    <row r="248" spans="1:16">
      <c r="A248" t="s">
        <v>110</v>
      </c>
      <c r="B248" t="s">
        <v>13</v>
      </c>
      <c r="C248">
        <v>150000390</v>
      </c>
      <c r="D248" s="1">
        <v>45455</v>
      </c>
      <c r="E248">
        <v>-26.9</v>
      </c>
      <c r="F248">
        <v>0</v>
      </c>
      <c r="G248">
        <v>700001818</v>
      </c>
      <c r="H248" s="1">
        <v>45580</v>
      </c>
      <c r="I248">
        <f>YEAR(Table1[[#This Row],[Posting Date]])</f>
        <v>2024</v>
      </c>
      <c r="J248">
        <f>MONTH(Table1[[#This Row],[Posting Date]])</f>
        <v>6</v>
      </c>
      <c r="K248" t="str">
        <f>IF(Table1[[#This Row],[Type]]="IN",VLOOKUP(Table1[[#This Row],[Cust '#]],ClientInfo!$A:$D,4,0),"")</f>
        <v/>
      </c>
      <c r="L248" s="1" t="str">
        <f>IF(K248="NET30",Table1[[#This Row],[Posting Date]]+30,IF(K248="NET15",Table1[[#This Row],[Posting Date]]+15,IF(K248="COD",Table1[[#This Row],[Posting Date]],"")))</f>
        <v/>
      </c>
      <c r="M248" s="4" t="str">
        <f>IFERROR(IF(Table1[[#This Row],[Type]]="IN",Table1[[#This Row],[RC Date]]-Table1[[#This Row],[Posting Date]],""),"")</f>
        <v/>
      </c>
      <c r="N248">
        <f>IFERROR(IF(Table1[[#This Row],[Balance Due (LC)]]&lt;&gt;0,$S$1-L248,0),"")</f>
        <v>0</v>
      </c>
      <c r="O248">
        <f>IFERROR(IF(Table1[[#This Row],[Type]]="IN",Table1[[#This Row],[C/D (LC)]],IF(Table1[[#This Row],[Type]]="CN",Table1[[#This Row],[C/D (LC)]],"")),"")</f>
        <v>-26.9</v>
      </c>
      <c r="P248" t="str">
        <f>VLOOKUP(Table1[[#This Row],[Cust '#]],ClientInfo!$A:$B,2,0)</f>
        <v>Client_04</v>
      </c>
    </row>
    <row r="249" spans="1:16">
      <c r="A249" t="s">
        <v>110</v>
      </c>
      <c r="B249" t="s">
        <v>10</v>
      </c>
      <c r="C249">
        <v>700000886</v>
      </c>
      <c r="D249" s="1">
        <v>45457</v>
      </c>
      <c r="E249">
        <v>-2204.6</v>
      </c>
      <c r="F249">
        <v>0</v>
      </c>
      <c r="G249">
        <v>700000886</v>
      </c>
      <c r="H249" s="1">
        <v>45457</v>
      </c>
      <c r="I249">
        <f>YEAR(Table1[[#This Row],[Posting Date]])</f>
        <v>2024</v>
      </c>
      <c r="J249">
        <f>MONTH(Table1[[#This Row],[Posting Date]])</f>
        <v>6</v>
      </c>
      <c r="K249" t="str">
        <f>IF(Table1[[#This Row],[Type]]="IN",VLOOKUP(Table1[[#This Row],[Cust '#]],ClientInfo!$A:$D,4,0),"")</f>
        <v/>
      </c>
      <c r="L249" s="1" t="str">
        <f>IF(K249="NET30",Table1[[#This Row],[Posting Date]]+30,IF(K249="NET15",Table1[[#This Row],[Posting Date]]+15,IF(K249="COD",Table1[[#This Row],[Posting Date]],"")))</f>
        <v/>
      </c>
      <c r="M249" s="4" t="str">
        <f>IFERROR(IF(Table1[[#This Row],[Type]]="IN",Table1[[#This Row],[RC Date]]-Table1[[#This Row],[Posting Date]],""),"")</f>
        <v/>
      </c>
      <c r="N249">
        <f>IFERROR(IF(Table1[[#This Row],[Balance Due (LC)]]&lt;&gt;0,$S$1-L249,0),"")</f>
        <v>0</v>
      </c>
      <c r="O249" t="str">
        <f>IFERROR(IF(Table1[[#This Row],[Type]]="IN",Table1[[#This Row],[C/D (LC)]],IF(Table1[[#This Row],[Type]]="CN",Table1[[#This Row],[C/D (LC)]],"")),"")</f>
        <v/>
      </c>
      <c r="P249" t="str">
        <f>VLOOKUP(Table1[[#This Row],[Cust '#]],ClientInfo!$A:$B,2,0)</f>
        <v>Client_04</v>
      </c>
    </row>
    <row r="250" spans="1:16">
      <c r="A250" t="s">
        <v>110</v>
      </c>
      <c r="B250" t="s">
        <v>12</v>
      </c>
      <c r="C250">
        <v>140009450</v>
      </c>
      <c r="D250" s="1">
        <v>45462</v>
      </c>
      <c r="E250">
        <v>5101.88</v>
      </c>
      <c r="F250">
        <v>0</v>
      </c>
      <c r="G250">
        <v>700001003</v>
      </c>
      <c r="H250" s="1">
        <v>45474</v>
      </c>
      <c r="I250">
        <f>YEAR(Table1[[#This Row],[Posting Date]])</f>
        <v>2024</v>
      </c>
      <c r="J250">
        <f>MONTH(Table1[[#This Row],[Posting Date]])</f>
        <v>6</v>
      </c>
      <c r="K250" t="str">
        <f>IF(Table1[[#This Row],[Type]]="IN",VLOOKUP(Table1[[#This Row],[Cust '#]],ClientInfo!$A:$D,4,0),"")</f>
        <v>NET30</v>
      </c>
      <c r="L250" s="1">
        <f>IF(K250="NET30",Table1[[#This Row],[Posting Date]]+30,IF(K250="NET15",Table1[[#This Row],[Posting Date]]+15,IF(K250="COD",Table1[[#This Row],[Posting Date]],"")))</f>
        <v>45492</v>
      </c>
      <c r="M250" s="4">
        <f>IFERROR(IF(Table1[[#This Row],[Type]]="IN",Table1[[#This Row],[RC Date]]-Table1[[#This Row],[Posting Date]],""),"")</f>
        <v>12</v>
      </c>
      <c r="N250">
        <f>IFERROR(IF(Table1[[#This Row],[Balance Due (LC)]]&lt;&gt;0,$S$1-L250,0),"")</f>
        <v>0</v>
      </c>
      <c r="O250">
        <f>IFERROR(IF(Table1[[#This Row],[Type]]="IN",Table1[[#This Row],[C/D (LC)]],IF(Table1[[#This Row],[Type]]="CN",Table1[[#This Row],[C/D (LC)]],"")),"")</f>
        <v>5101.88</v>
      </c>
      <c r="P250" t="str">
        <f>VLOOKUP(Table1[[#This Row],[Cust '#]],ClientInfo!$A:$B,2,0)</f>
        <v>Client_04</v>
      </c>
    </row>
    <row r="251" spans="1:16">
      <c r="A251" t="s">
        <v>110</v>
      </c>
      <c r="B251" t="s">
        <v>12</v>
      </c>
      <c r="C251">
        <v>140009451</v>
      </c>
      <c r="D251" s="1">
        <v>45462</v>
      </c>
      <c r="E251">
        <v>212</v>
      </c>
      <c r="F251">
        <v>0</v>
      </c>
      <c r="G251">
        <v>700001003</v>
      </c>
      <c r="H251" s="1">
        <v>45474</v>
      </c>
      <c r="I251">
        <f>YEAR(Table1[[#This Row],[Posting Date]])</f>
        <v>2024</v>
      </c>
      <c r="J251">
        <f>MONTH(Table1[[#This Row],[Posting Date]])</f>
        <v>6</v>
      </c>
      <c r="K251" t="str">
        <f>IF(Table1[[#This Row],[Type]]="IN",VLOOKUP(Table1[[#This Row],[Cust '#]],ClientInfo!$A:$D,4,0),"")</f>
        <v>NET30</v>
      </c>
      <c r="L251" s="1">
        <f>IF(K251="NET30",Table1[[#This Row],[Posting Date]]+30,IF(K251="NET15",Table1[[#This Row],[Posting Date]]+15,IF(K251="COD",Table1[[#This Row],[Posting Date]],"")))</f>
        <v>45492</v>
      </c>
      <c r="M251" s="4">
        <f>IFERROR(IF(Table1[[#This Row],[Type]]="IN",Table1[[#This Row],[RC Date]]-Table1[[#This Row],[Posting Date]],""),"")</f>
        <v>12</v>
      </c>
      <c r="N251">
        <f>IFERROR(IF(Table1[[#This Row],[Balance Due (LC)]]&lt;&gt;0,$S$1-L251,0),"")</f>
        <v>0</v>
      </c>
      <c r="O251">
        <f>IFERROR(IF(Table1[[#This Row],[Type]]="IN",Table1[[#This Row],[C/D (LC)]],IF(Table1[[#This Row],[Type]]="CN",Table1[[#This Row],[C/D (LC)]],"")),"")</f>
        <v>212</v>
      </c>
      <c r="P251" t="str">
        <f>VLOOKUP(Table1[[#This Row],[Cust '#]],ClientInfo!$A:$B,2,0)</f>
        <v>Client_04</v>
      </c>
    </row>
    <row r="252" spans="1:16">
      <c r="A252" t="s">
        <v>110</v>
      </c>
      <c r="B252" t="s">
        <v>10</v>
      </c>
      <c r="C252">
        <v>700000936</v>
      </c>
      <c r="D252" s="1">
        <v>45467</v>
      </c>
      <c r="E252">
        <v>-4001.2</v>
      </c>
      <c r="F252">
        <v>0</v>
      </c>
      <c r="G252">
        <v>700000936</v>
      </c>
      <c r="H252" s="1">
        <v>45467</v>
      </c>
      <c r="I252">
        <f>YEAR(Table1[[#This Row],[Posting Date]])</f>
        <v>2024</v>
      </c>
      <c r="J252">
        <f>MONTH(Table1[[#This Row],[Posting Date]])</f>
        <v>6</v>
      </c>
      <c r="K252" t="str">
        <f>IF(Table1[[#This Row],[Type]]="IN",VLOOKUP(Table1[[#This Row],[Cust '#]],ClientInfo!$A:$D,4,0),"")</f>
        <v/>
      </c>
      <c r="L252" s="1" t="str">
        <f>IF(K252="NET30",Table1[[#This Row],[Posting Date]]+30,IF(K252="NET15",Table1[[#This Row],[Posting Date]]+15,IF(K252="COD",Table1[[#This Row],[Posting Date]],"")))</f>
        <v/>
      </c>
      <c r="M252" s="4" t="str">
        <f>IFERROR(IF(Table1[[#This Row],[Type]]="IN",Table1[[#This Row],[RC Date]]-Table1[[#This Row],[Posting Date]],""),"")</f>
        <v/>
      </c>
      <c r="N252">
        <f>IFERROR(IF(Table1[[#This Row],[Balance Due (LC)]]&lt;&gt;0,$S$1-L252,0),"")</f>
        <v>0</v>
      </c>
      <c r="O252" t="str">
        <f>IFERROR(IF(Table1[[#This Row],[Type]]="IN",Table1[[#This Row],[C/D (LC)]],IF(Table1[[#This Row],[Type]]="CN",Table1[[#This Row],[C/D (LC)]],"")),"")</f>
        <v/>
      </c>
      <c r="P252" t="str">
        <f>VLOOKUP(Table1[[#This Row],[Cust '#]],ClientInfo!$A:$B,2,0)</f>
        <v>Client_04</v>
      </c>
    </row>
    <row r="253" spans="1:16">
      <c r="A253" t="s">
        <v>110</v>
      </c>
      <c r="B253" t="s">
        <v>12</v>
      </c>
      <c r="C253">
        <v>140009741</v>
      </c>
      <c r="D253" s="1">
        <v>45469</v>
      </c>
      <c r="E253">
        <v>5055</v>
      </c>
      <c r="F253">
        <v>0</v>
      </c>
      <c r="G253">
        <v>700001105</v>
      </c>
      <c r="H253" s="1">
        <v>45488</v>
      </c>
      <c r="I253">
        <f>YEAR(Table1[[#This Row],[Posting Date]])</f>
        <v>2024</v>
      </c>
      <c r="J253">
        <f>MONTH(Table1[[#This Row],[Posting Date]])</f>
        <v>6</v>
      </c>
      <c r="K253" t="str">
        <f>IF(Table1[[#This Row],[Type]]="IN",VLOOKUP(Table1[[#This Row],[Cust '#]],ClientInfo!$A:$D,4,0),"")</f>
        <v>NET30</v>
      </c>
      <c r="L253" s="1">
        <f>IF(K253="NET30",Table1[[#This Row],[Posting Date]]+30,IF(K253="NET15",Table1[[#This Row],[Posting Date]]+15,IF(K253="COD",Table1[[#This Row],[Posting Date]],"")))</f>
        <v>45499</v>
      </c>
      <c r="M253" s="4">
        <f>IFERROR(IF(Table1[[#This Row],[Type]]="IN",Table1[[#This Row],[RC Date]]-Table1[[#This Row],[Posting Date]],""),"")</f>
        <v>19</v>
      </c>
      <c r="N253">
        <f>IFERROR(IF(Table1[[#This Row],[Balance Due (LC)]]&lt;&gt;0,$S$1-L253,0),"")</f>
        <v>0</v>
      </c>
      <c r="O253">
        <f>IFERROR(IF(Table1[[#This Row],[Type]]="IN",Table1[[#This Row],[C/D (LC)]],IF(Table1[[#This Row],[Type]]="CN",Table1[[#This Row],[C/D (LC)]],"")),"")</f>
        <v>5055</v>
      </c>
      <c r="P253" t="str">
        <f>VLOOKUP(Table1[[#This Row],[Cust '#]],ClientInfo!$A:$B,2,0)</f>
        <v>Client_04</v>
      </c>
    </row>
    <row r="254" spans="1:16">
      <c r="A254" t="s">
        <v>110</v>
      </c>
      <c r="B254" t="s">
        <v>10</v>
      </c>
      <c r="C254">
        <v>700001003</v>
      </c>
      <c r="D254" s="1">
        <v>45474</v>
      </c>
      <c r="E254">
        <v>-5313.88</v>
      </c>
      <c r="F254">
        <v>0</v>
      </c>
      <c r="G254">
        <v>700001003</v>
      </c>
      <c r="H254" s="1">
        <v>45474</v>
      </c>
      <c r="I254">
        <f>YEAR(Table1[[#This Row],[Posting Date]])</f>
        <v>2024</v>
      </c>
      <c r="J254">
        <f>MONTH(Table1[[#This Row],[Posting Date]])</f>
        <v>7</v>
      </c>
      <c r="K254" t="str">
        <f>IF(Table1[[#This Row],[Type]]="IN",VLOOKUP(Table1[[#This Row],[Cust '#]],ClientInfo!$A:$D,4,0),"")</f>
        <v/>
      </c>
      <c r="L254" s="1" t="str">
        <f>IF(K254="NET30",Table1[[#This Row],[Posting Date]]+30,IF(K254="NET15",Table1[[#This Row],[Posting Date]]+15,IF(K254="COD",Table1[[#This Row],[Posting Date]],"")))</f>
        <v/>
      </c>
      <c r="M254" s="4" t="str">
        <f>IFERROR(IF(Table1[[#This Row],[Type]]="IN",Table1[[#This Row],[RC Date]]-Table1[[#This Row],[Posting Date]],""),"")</f>
        <v/>
      </c>
      <c r="N254">
        <f>IFERROR(IF(Table1[[#This Row],[Balance Due (LC)]]&lt;&gt;0,$S$1-L254,0),"")</f>
        <v>0</v>
      </c>
      <c r="O254" t="str">
        <f>IFERROR(IF(Table1[[#This Row],[Type]]="IN",Table1[[#This Row],[C/D (LC)]],IF(Table1[[#This Row],[Type]]="CN",Table1[[#This Row],[C/D (LC)]],"")),"")</f>
        <v/>
      </c>
      <c r="P254" t="str">
        <f>VLOOKUP(Table1[[#This Row],[Cust '#]],ClientInfo!$A:$B,2,0)</f>
        <v>Client_04</v>
      </c>
    </row>
    <row r="255" spans="1:16">
      <c r="A255" t="s">
        <v>110</v>
      </c>
      <c r="B255" t="s">
        <v>12</v>
      </c>
      <c r="C255">
        <v>140010151</v>
      </c>
      <c r="D255" s="1">
        <v>45476</v>
      </c>
      <c r="E255">
        <v>6742</v>
      </c>
      <c r="F255">
        <v>0</v>
      </c>
      <c r="G255">
        <v>700001105</v>
      </c>
      <c r="H255" s="1">
        <v>45488</v>
      </c>
      <c r="I255">
        <f>YEAR(Table1[[#This Row],[Posting Date]])</f>
        <v>2024</v>
      </c>
      <c r="J255">
        <f>MONTH(Table1[[#This Row],[Posting Date]])</f>
        <v>7</v>
      </c>
      <c r="K255" t="str">
        <f>IF(Table1[[#This Row],[Type]]="IN",VLOOKUP(Table1[[#This Row],[Cust '#]],ClientInfo!$A:$D,4,0),"")</f>
        <v>NET30</v>
      </c>
      <c r="L255" s="1">
        <f>IF(K255="NET30",Table1[[#This Row],[Posting Date]]+30,IF(K255="NET15",Table1[[#This Row],[Posting Date]]+15,IF(K255="COD",Table1[[#This Row],[Posting Date]],"")))</f>
        <v>45506</v>
      </c>
      <c r="M255" s="4">
        <f>IFERROR(IF(Table1[[#This Row],[Type]]="IN",Table1[[#This Row],[RC Date]]-Table1[[#This Row],[Posting Date]],""),"")</f>
        <v>12</v>
      </c>
      <c r="N255">
        <f>IFERROR(IF(Table1[[#This Row],[Balance Due (LC)]]&lt;&gt;0,$S$1-L255,0),"")</f>
        <v>0</v>
      </c>
      <c r="O255">
        <f>IFERROR(IF(Table1[[#This Row],[Type]]="IN",Table1[[#This Row],[C/D (LC)]],IF(Table1[[#This Row],[Type]]="CN",Table1[[#This Row],[C/D (LC)]],"")),"")</f>
        <v>6742</v>
      </c>
      <c r="P255" t="str">
        <f>VLOOKUP(Table1[[#This Row],[Cust '#]],ClientInfo!$A:$B,2,0)</f>
        <v>Client_04</v>
      </c>
    </row>
    <row r="256" spans="1:16">
      <c r="A256" t="s">
        <v>110</v>
      </c>
      <c r="B256" t="s">
        <v>12</v>
      </c>
      <c r="C256">
        <v>140010391</v>
      </c>
      <c r="D256" s="1">
        <v>45483</v>
      </c>
      <c r="E256">
        <v>5186.6000000000004</v>
      </c>
      <c r="F256">
        <v>0</v>
      </c>
      <c r="G256">
        <v>700001150</v>
      </c>
      <c r="H256" s="1">
        <v>45492</v>
      </c>
      <c r="I256">
        <f>YEAR(Table1[[#This Row],[Posting Date]])</f>
        <v>2024</v>
      </c>
      <c r="J256">
        <f>MONTH(Table1[[#This Row],[Posting Date]])</f>
        <v>7</v>
      </c>
      <c r="K256" t="str">
        <f>IF(Table1[[#This Row],[Type]]="IN",VLOOKUP(Table1[[#This Row],[Cust '#]],ClientInfo!$A:$D,4,0),"")</f>
        <v>NET30</v>
      </c>
      <c r="L256" s="1">
        <f>IF(K256="NET30",Table1[[#This Row],[Posting Date]]+30,IF(K256="NET15",Table1[[#This Row],[Posting Date]]+15,IF(K256="COD",Table1[[#This Row],[Posting Date]],"")))</f>
        <v>45513</v>
      </c>
      <c r="M256" s="4">
        <f>IFERROR(IF(Table1[[#This Row],[Type]]="IN",Table1[[#This Row],[RC Date]]-Table1[[#This Row],[Posting Date]],""),"")</f>
        <v>9</v>
      </c>
      <c r="N256">
        <f>IFERROR(IF(Table1[[#This Row],[Balance Due (LC)]]&lt;&gt;0,$S$1-L256,0),"")</f>
        <v>0</v>
      </c>
      <c r="O256">
        <f>IFERROR(IF(Table1[[#This Row],[Type]]="IN",Table1[[#This Row],[C/D (LC)]],IF(Table1[[#This Row],[Type]]="CN",Table1[[#This Row],[C/D (LC)]],"")),"")</f>
        <v>5186.6000000000004</v>
      </c>
      <c r="P256" t="str">
        <f>VLOOKUP(Table1[[#This Row],[Cust '#]],ClientInfo!$A:$B,2,0)</f>
        <v>Client_04</v>
      </c>
    </row>
    <row r="257" spans="1:16">
      <c r="A257" t="s">
        <v>110</v>
      </c>
      <c r="B257" t="s">
        <v>12</v>
      </c>
      <c r="C257">
        <v>140010392</v>
      </c>
      <c r="D257" s="1">
        <v>45483</v>
      </c>
      <c r="E257">
        <v>200</v>
      </c>
      <c r="F257">
        <v>0</v>
      </c>
      <c r="G257">
        <v>700001150</v>
      </c>
      <c r="H257" s="1">
        <v>45492</v>
      </c>
      <c r="I257">
        <f>YEAR(Table1[[#This Row],[Posting Date]])</f>
        <v>2024</v>
      </c>
      <c r="J257">
        <f>MONTH(Table1[[#This Row],[Posting Date]])</f>
        <v>7</v>
      </c>
      <c r="K257" t="str">
        <f>IF(Table1[[#This Row],[Type]]="IN",VLOOKUP(Table1[[#This Row],[Cust '#]],ClientInfo!$A:$D,4,0),"")</f>
        <v>NET30</v>
      </c>
      <c r="L257" s="1">
        <f>IF(K257="NET30",Table1[[#This Row],[Posting Date]]+30,IF(K257="NET15",Table1[[#This Row],[Posting Date]]+15,IF(K257="COD",Table1[[#This Row],[Posting Date]],"")))</f>
        <v>45513</v>
      </c>
      <c r="M257" s="4">
        <f>IFERROR(IF(Table1[[#This Row],[Type]]="IN",Table1[[#This Row],[RC Date]]-Table1[[#This Row],[Posting Date]],""),"")</f>
        <v>9</v>
      </c>
      <c r="N257">
        <f>IFERROR(IF(Table1[[#This Row],[Balance Due (LC)]]&lt;&gt;0,$S$1-L257,0),"")</f>
        <v>0</v>
      </c>
      <c r="O257">
        <f>IFERROR(IF(Table1[[#This Row],[Type]]="IN",Table1[[#This Row],[C/D (LC)]],IF(Table1[[#This Row],[Type]]="CN",Table1[[#This Row],[C/D (LC)]],"")),"")</f>
        <v>200</v>
      </c>
      <c r="P257" t="str">
        <f>VLOOKUP(Table1[[#This Row],[Cust '#]],ClientInfo!$A:$B,2,0)</f>
        <v>Client_04</v>
      </c>
    </row>
    <row r="258" spans="1:16">
      <c r="A258" t="s">
        <v>110</v>
      </c>
      <c r="B258" t="s">
        <v>10</v>
      </c>
      <c r="C258">
        <v>700001105</v>
      </c>
      <c r="D258" s="1">
        <v>45488</v>
      </c>
      <c r="E258">
        <v>-11797</v>
      </c>
      <c r="F258">
        <v>0</v>
      </c>
      <c r="G258">
        <v>700001105</v>
      </c>
      <c r="H258" s="1">
        <v>45488</v>
      </c>
      <c r="I258">
        <f>YEAR(Table1[[#This Row],[Posting Date]])</f>
        <v>2024</v>
      </c>
      <c r="J258">
        <f>MONTH(Table1[[#This Row],[Posting Date]])</f>
        <v>7</v>
      </c>
      <c r="K258" t="str">
        <f>IF(Table1[[#This Row],[Type]]="IN",VLOOKUP(Table1[[#This Row],[Cust '#]],ClientInfo!$A:$D,4,0),"")</f>
        <v/>
      </c>
      <c r="L258" s="1" t="str">
        <f>IF(K258="NET30",Table1[[#This Row],[Posting Date]]+30,IF(K258="NET15",Table1[[#This Row],[Posting Date]]+15,IF(K258="COD",Table1[[#This Row],[Posting Date]],"")))</f>
        <v/>
      </c>
      <c r="M258" s="4" t="str">
        <f>IFERROR(IF(Table1[[#This Row],[Type]]="IN",Table1[[#This Row],[RC Date]]-Table1[[#This Row],[Posting Date]],""),"")</f>
        <v/>
      </c>
      <c r="N258">
        <f>IFERROR(IF(Table1[[#This Row],[Balance Due (LC)]]&lt;&gt;0,$S$1-L258,0),"")</f>
        <v>0</v>
      </c>
      <c r="O258" t="str">
        <f>IFERROR(IF(Table1[[#This Row],[Type]]="IN",Table1[[#This Row],[C/D (LC)]],IF(Table1[[#This Row],[Type]]="CN",Table1[[#This Row],[C/D (LC)]],"")),"")</f>
        <v/>
      </c>
      <c r="P258" t="str">
        <f>VLOOKUP(Table1[[#This Row],[Cust '#]],ClientInfo!$A:$B,2,0)</f>
        <v>Client_04</v>
      </c>
    </row>
    <row r="259" spans="1:16">
      <c r="A259" t="s">
        <v>110</v>
      </c>
      <c r="B259" t="s">
        <v>12</v>
      </c>
      <c r="C259">
        <v>140010723</v>
      </c>
      <c r="D259" s="1">
        <v>45490</v>
      </c>
      <c r="E259">
        <v>3270.9</v>
      </c>
      <c r="F259">
        <v>0</v>
      </c>
      <c r="G259">
        <v>700001198</v>
      </c>
      <c r="H259" s="1">
        <v>45499</v>
      </c>
      <c r="I259">
        <f>YEAR(Table1[[#This Row],[Posting Date]])</f>
        <v>2024</v>
      </c>
      <c r="J259">
        <f>MONTH(Table1[[#This Row],[Posting Date]])</f>
        <v>7</v>
      </c>
      <c r="K259" t="str">
        <f>IF(Table1[[#This Row],[Type]]="IN",VLOOKUP(Table1[[#This Row],[Cust '#]],ClientInfo!$A:$D,4,0),"")</f>
        <v>NET30</v>
      </c>
      <c r="L259" s="1">
        <f>IF(K259="NET30",Table1[[#This Row],[Posting Date]]+30,IF(K259="NET15",Table1[[#This Row],[Posting Date]]+15,IF(K259="COD",Table1[[#This Row],[Posting Date]],"")))</f>
        <v>45520</v>
      </c>
      <c r="M259" s="4">
        <f>IFERROR(IF(Table1[[#This Row],[Type]]="IN",Table1[[#This Row],[RC Date]]-Table1[[#This Row],[Posting Date]],""),"")</f>
        <v>9</v>
      </c>
      <c r="N259">
        <f>IFERROR(IF(Table1[[#This Row],[Balance Due (LC)]]&lt;&gt;0,$S$1-L259,0),"")</f>
        <v>0</v>
      </c>
      <c r="O259">
        <f>IFERROR(IF(Table1[[#This Row],[Type]]="IN",Table1[[#This Row],[C/D (LC)]],IF(Table1[[#This Row],[Type]]="CN",Table1[[#This Row],[C/D (LC)]],"")),"")</f>
        <v>3270.9</v>
      </c>
      <c r="P259" t="str">
        <f>VLOOKUP(Table1[[#This Row],[Cust '#]],ClientInfo!$A:$B,2,0)</f>
        <v>Client_04</v>
      </c>
    </row>
    <row r="260" spans="1:16">
      <c r="A260" t="s">
        <v>110</v>
      </c>
      <c r="B260" t="s">
        <v>10</v>
      </c>
      <c r="C260">
        <v>700001150</v>
      </c>
      <c r="D260" s="1">
        <v>45492</v>
      </c>
      <c r="E260">
        <v>-5386.6</v>
      </c>
      <c r="F260">
        <v>0</v>
      </c>
      <c r="G260">
        <v>700001150</v>
      </c>
      <c r="H260" s="1">
        <v>45492</v>
      </c>
      <c r="I260">
        <f>YEAR(Table1[[#This Row],[Posting Date]])</f>
        <v>2024</v>
      </c>
      <c r="J260">
        <f>MONTH(Table1[[#This Row],[Posting Date]])</f>
        <v>7</v>
      </c>
      <c r="K260" t="str">
        <f>IF(Table1[[#This Row],[Type]]="IN",VLOOKUP(Table1[[#This Row],[Cust '#]],ClientInfo!$A:$D,4,0),"")</f>
        <v/>
      </c>
      <c r="L260" s="1" t="str">
        <f>IF(K260="NET30",Table1[[#This Row],[Posting Date]]+30,IF(K260="NET15",Table1[[#This Row],[Posting Date]]+15,IF(K260="COD",Table1[[#This Row],[Posting Date]],"")))</f>
        <v/>
      </c>
      <c r="M260" s="4" t="str">
        <f>IFERROR(IF(Table1[[#This Row],[Type]]="IN",Table1[[#This Row],[RC Date]]-Table1[[#This Row],[Posting Date]],""),"")</f>
        <v/>
      </c>
      <c r="N260">
        <f>IFERROR(IF(Table1[[#This Row],[Balance Due (LC)]]&lt;&gt;0,$S$1-L260,0),"")</f>
        <v>0</v>
      </c>
      <c r="O260" t="str">
        <f>IFERROR(IF(Table1[[#This Row],[Type]]="IN",Table1[[#This Row],[C/D (LC)]],IF(Table1[[#This Row],[Type]]="CN",Table1[[#This Row],[C/D (LC)]],"")),"")</f>
        <v/>
      </c>
      <c r="P260" t="str">
        <f>VLOOKUP(Table1[[#This Row],[Cust '#]],ClientInfo!$A:$B,2,0)</f>
        <v>Client_04</v>
      </c>
    </row>
    <row r="261" spans="1:16">
      <c r="A261" t="s">
        <v>110</v>
      </c>
      <c r="B261" t="s">
        <v>12</v>
      </c>
      <c r="C261">
        <v>140011021</v>
      </c>
      <c r="D261" s="1">
        <v>45497</v>
      </c>
      <c r="E261">
        <v>6141.4</v>
      </c>
      <c r="F261">
        <v>0</v>
      </c>
      <c r="G261">
        <v>700001280</v>
      </c>
      <c r="H261" s="1">
        <v>45511</v>
      </c>
      <c r="I261">
        <f>YEAR(Table1[[#This Row],[Posting Date]])</f>
        <v>2024</v>
      </c>
      <c r="J261">
        <f>MONTH(Table1[[#This Row],[Posting Date]])</f>
        <v>7</v>
      </c>
      <c r="K261" t="str">
        <f>IF(Table1[[#This Row],[Type]]="IN",VLOOKUP(Table1[[#This Row],[Cust '#]],ClientInfo!$A:$D,4,0),"")</f>
        <v>NET30</v>
      </c>
      <c r="L261" s="1">
        <f>IF(K261="NET30",Table1[[#This Row],[Posting Date]]+30,IF(K261="NET15",Table1[[#This Row],[Posting Date]]+15,IF(K261="COD",Table1[[#This Row],[Posting Date]],"")))</f>
        <v>45527</v>
      </c>
      <c r="M261" s="4">
        <f>IFERROR(IF(Table1[[#This Row],[Type]]="IN",Table1[[#This Row],[RC Date]]-Table1[[#This Row],[Posting Date]],""),"")</f>
        <v>14</v>
      </c>
      <c r="N261">
        <f>IFERROR(IF(Table1[[#This Row],[Balance Due (LC)]]&lt;&gt;0,$S$1-L261,0),"")</f>
        <v>0</v>
      </c>
      <c r="O261">
        <f>IFERROR(IF(Table1[[#This Row],[Type]]="IN",Table1[[#This Row],[C/D (LC)]],IF(Table1[[#This Row],[Type]]="CN",Table1[[#This Row],[C/D (LC)]],"")),"")</f>
        <v>6141.4</v>
      </c>
      <c r="P261" t="str">
        <f>VLOOKUP(Table1[[#This Row],[Cust '#]],ClientInfo!$A:$B,2,0)</f>
        <v>Client_04</v>
      </c>
    </row>
    <row r="262" spans="1:16">
      <c r="A262" t="s">
        <v>110</v>
      </c>
      <c r="B262" t="s">
        <v>10</v>
      </c>
      <c r="C262">
        <v>700001198</v>
      </c>
      <c r="D262" s="1">
        <v>45499</v>
      </c>
      <c r="E262">
        <v>-3270.9</v>
      </c>
      <c r="F262">
        <v>0</v>
      </c>
      <c r="G262">
        <v>700001198</v>
      </c>
      <c r="H262" s="1">
        <v>45499</v>
      </c>
      <c r="I262">
        <f>YEAR(Table1[[#This Row],[Posting Date]])</f>
        <v>2024</v>
      </c>
      <c r="J262">
        <f>MONTH(Table1[[#This Row],[Posting Date]])</f>
        <v>7</v>
      </c>
      <c r="K262" t="str">
        <f>IF(Table1[[#This Row],[Type]]="IN",VLOOKUP(Table1[[#This Row],[Cust '#]],ClientInfo!$A:$D,4,0),"")</f>
        <v/>
      </c>
      <c r="L262" s="1" t="str">
        <f>IF(K262="NET30",Table1[[#This Row],[Posting Date]]+30,IF(K262="NET15",Table1[[#This Row],[Posting Date]]+15,IF(K262="COD",Table1[[#This Row],[Posting Date]],"")))</f>
        <v/>
      </c>
      <c r="M262" s="4" t="str">
        <f>IFERROR(IF(Table1[[#This Row],[Type]]="IN",Table1[[#This Row],[RC Date]]-Table1[[#This Row],[Posting Date]],""),"")</f>
        <v/>
      </c>
      <c r="N262">
        <f>IFERROR(IF(Table1[[#This Row],[Balance Due (LC)]]&lt;&gt;0,$S$1-L262,0),"")</f>
        <v>0</v>
      </c>
      <c r="O262" t="str">
        <f>IFERROR(IF(Table1[[#This Row],[Type]]="IN",Table1[[#This Row],[C/D (LC)]],IF(Table1[[#This Row],[Type]]="CN",Table1[[#This Row],[C/D (LC)]],"")),"")</f>
        <v/>
      </c>
      <c r="P262" t="str">
        <f>VLOOKUP(Table1[[#This Row],[Cust '#]],ClientInfo!$A:$B,2,0)</f>
        <v>Client_04</v>
      </c>
    </row>
    <row r="263" spans="1:16">
      <c r="A263" t="s">
        <v>110</v>
      </c>
      <c r="B263" t="s">
        <v>13</v>
      </c>
      <c r="C263">
        <v>150000477</v>
      </c>
      <c r="D263" s="1">
        <v>45503</v>
      </c>
      <c r="E263">
        <v>-29.4</v>
      </c>
      <c r="F263">
        <v>0</v>
      </c>
      <c r="G263">
        <v>700001818</v>
      </c>
      <c r="H263" s="1">
        <v>45580</v>
      </c>
      <c r="I263">
        <f>YEAR(Table1[[#This Row],[Posting Date]])</f>
        <v>2024</v>
      </c>
      <c r="J263">
        <f>MONTH(Table1[[#This Row],[Posting Date]])</f>
        <v>7</v>
      </c>
      <c r="K263" t="str">
        <f>IF(Table1[[#This Row],[Type]]="IN",VLOOKUP(Table1[[#This Row],[Cust '#]],ClientInfo!$A:$D,4,0),"")</f>
        <v/>
      </c>
      <c r="L263" s="1" t="str">
        <f>IF(K263="NET30",Table1[[#This Row],[Posting Date]]+30,IF(K263="NET15",Table1[[#This Row],[Posting Date]]+15,IF(K263="COD",Table1[[#This Row],[Posting Date]],"")))</f>
        <v/>
      </c>
      <c r="M263" s="4" t="str">
        <f>IFERROR(IF(Table1[[#This Row],[Type]]="IN",Table1[[#This Row],[RC Date]]-Table1[[#This Row],[Posting Date]],""),"")</f>
        <v/>
      </c>
      <c r="N263">
        <f>IFERROR(IF(Table1[[#This Row],[Balance Due (LC)]]&lt;&gt;0,$S$1-L263,0),"")</f>
        <v>0</v>
      </c>
      <c r="O263">
        <f>IFERROR(IF(Table1[[#This Row],[Type]]="IN",Table1[[#This Row],[C/D (LC)]],IF(Table1[[#This Row],[Type]]="CN",Table1[[#This Row],[C/D (LC)]],"")),"")</f>
        <v>-29.4</v>
      </c>
      <c r="P263" t="str">
        <f>VLOOKUP(Table1[[#This Row],[Cust '#]],ClientInfo!$A:$B,2,0)</f>
        <v>Client_04</v>
      </c>
    </row>
    <row r="264" spans="1:16">
      <c r="A264" t="s">
        <v>110</v>
      </c>
      <c r="B264" t="s">
        <v>12</v>
      </c>
      <c r="C264">
        <v>140011356</v>
      </c>
      <c r="D264" s="1">
        <v>45504</v>
      </c>
      <c r="E264">
        <v>6667.4</v>
      </c>
      <c r="F264">
        <v>0</v>
      </c>
      <c r="G264">
        <v>700001321</v>
      </c>
      <c r="H264" s="1">
        <v>45516</v>
      </c>
      <c r="I264">
        <f>YEAR(Table1[[#This Row],[Posting Date]])</f>
        <v>2024</v>
      </c>
      <c r="J264">
        <f>MONTH(Table1[[#This Row],[Posting Date]])</f>
        <v>7</v>
      </c>
      <c r="K264" t="str">
        <f>IF(Table1[[#This Row],[Type]]="IN",VLOOKUP(Table1[[#This Row],[Cust '#]],ClientInfo!$A:$D,4,0),"")</f>
        <v>NET30</v>
      </c>
      <c r="L264" s="1">
        <f>IF(K264="NET30",Table1[[#This Row],[Posting Date]]+30,IF(K264="NET15",Table1[[#This Row],[Posting Date]]+15,IF(K264="COD",Table1[[#This Row],[Posting Date]],"")))</f>
        <v>45534</v>
      </c>
      <c r="M264" s="4">
        <f>IFERROR(IF(Table1[[#This Row],[Type]]="IN",Table1[[#This Row],[RC Date]]-Table1[[#This Row],[Posting Date]],""),"")</f>
        <v>12</v>
      </c>
      <c r="N264">
        <f>IFERROR(IF(Table1[[#This Row],[Balance Due (LC)]]&lt;&gt;0,$S$1-L264,0),"")</f>
        <v>0</v>
      </c>
      <c r="O264">
        <f>IFERROR(IF(Table1[[#This Row],[Type]]="IN",Table1[[#This Row],[C/D (LC)]],IF(Table1[[#This Row],[Type]]="CN",Table1[[#This Row],[C/D (LC)]],"")),"")</f>
        <v>6667.4</v>
      </c>
      <c r="P264" t="str">
        <f>VLOOKUP(Table1[[#This Row],[Cust '#]],ClientInfo!$A:$B,2,0)</f>
        <v>Client_04</v>
      </c>
    </row>
    <row r="265" spans="1:16">
      <c r="A265" t="s">
        <v>110</v>
      </c>
      <c r="B265" t="s">
        <v>12</v>
      </c>
      <c r="C265">
        <v>140011357</v>
      </c>
      <c r="D265" s="1">
        <v>45504</v>
      </c>
      <c r="E265">
        <v>376</v>
      </c>
      <c r="F265">
        <v>0</v>
      </c>
      <c r="G265">
        <v>700001321</v>
      </c>
      <c r="H265" s="1">
        <v>45516</v>
      </c>
      <c r="I265">
        <f>YEAR(Table1[[#This Row],[Posting Date]])</f>
        <v>2024</v>
      </c>
      <c r="J265">
        <f>MONTH(Table1[[#This Row],[Posting Date]])</f>
        <v>7</v>
      </c>
      <c r="K265" t="str">
        <f>IF(Table1[[#This Row],[Type]]="IN",VLOOKUP(Table1[[#This Row],[Cust '#]],ClientInfo!$A:$D,4,0),"")</f>
        <v>NET30</v>
      </c>
      <c r="L265" s="1">
        <f>IF(K265="NET30",Table1[[#This Row],[Posting Date]]+30,IF(K265="NET15",Table1[[#This Row],[Posting Date]]+15,IF(K265="COD",Table1[[#This Row],[Posting Date]],"")))</f>
        <v>45534</v>
      </c>
      <c r="M265" s="4">
        <f>IFERROR(IF(Table1[[#This Row],[Type]]="IN",Table1[[#This Row],[RC Date]]-Table1[[#This Row],[Posting Date]],""),"")</f>
        <v>12</v>
      </c>
      <c r="N265">
        <f>IFERROR(IF(Table1[[#This Row],[Balance Due (LC)]]&lt;&gt;0,$S$1-L265,0),"")</f>
        <v>0</v>
      </c>
      <c r="O265">
        <f>IFERROR(IF(Table1[[#This Row],[Type]]="IN",Table1[[#This Row],[C/D (LC)]],IF(Table1[[#This Row],[Type]]="CN",Table1[[#This Row],[C/D (LC)]],"")),"")</f>
        <v>376</v>
      </c>
      <c r="P265" t="str">
        <f>VLOOKUP(Table1[[#This Row],[Cust '#]],ClientInfo!$A:$B,2,0)</f>
        <v>Client_04</v>
      </c>
    </row>
    <row r="266" spans="1:16">
      <c r="A266" t="s">
        <v>110</v>
      </c>
      <c r="B266" t="s">
        <v>12</v>
      </c>
      <c r="C266">
        <v>140011659</v>
      </c>
      <c r="D266" s="1">
        <v>45511</v>
      </c>
      <c r="E266">
        <v>5425.28</v>
      </c>
      <c r="F266">
        <v>0</v>
      </c>
      <c r="G266">
        <v>700001378</v>
      </c>
      <c r="H266" s="1">
        <v>45523</v>
      </c>
      <c r="I266">
        <f>YEAR(Table1[[#This Row],[Posting Date]])</f>
        <v>2024</v>
      </c>
      <c r="J266">
        <f>MONTH(Table1[[#This Row],[Posting Date]])</f>
        <v>8</v>
      </c>
      <c r="K266" t="str">
        <f>IF(Table1[[#This Row],[Type]]="IN",VLOOKUP(Table1[[#This Row],[Cust '#]],ClientInfo!$A:$D,4,0),"")</f>
        <v>NET30</v>
      </c>
      <c r="L266" s="1">
        <f>IF(K266="NET30",Table1[[#This Row],[Posting Date]]+30,IF(K266="NET15",Table1[[#This Row],[Posting Date]]+15,IF(K266="COD",Table1[[#This Row],[Posting Date]],"")))</f>
        <v>45541</v>
      </c>
      <c r="M266" s="4">
        <f>IFERROR(IF(Table1[[#This Row],[Type]]="IN",Table1[[#This Row],[RC Date]]-Table1[[#This Row],[Posting Date]],""),"")</f>
        <v>12</v>
      </c>
      <c r="N266">
        <f>IFERROR(IF(Table1[[#This Row],[Balance Due (LC)]]&lt;&gt;0,$S$1-L266,0),"")</f>
        <v>0</v>
      </c>
      <c r="O266">
        <f>IFERROR(IF(Table1[[#This Row],[Type]]="IN",Table1[[#This Row],[C/D (LC)]],IF(Table1[[#This Row],[Type]]="CN",Table1[[#This Row],[C/D (LC)]],"")),"")</f>
        <v>5425.28</v>
      </c>
      <c r="P266" t="str">
        <f>VLOOKUP(Table1[[#This Row],[Cust '#]],ClientInfo!$A:$B,2,0)</f>
        <v>Client_04</v>
      </c>
    </row>
    <row r="267" spans="1:16">
      <c r="A267" t="s">
        <v>110</v>
      </c>
      <c r="B267" t="s">
        <v>10</v>
      </c>
      <c r="C267">
        <v>700001280</v>
      </c>
      <c r="D267" s="1">
        <v>45511</v>
      </c>
      <c r="E267">
        <v>-6141.4</v>
      </c>
      <c r="F267">
        <v>0</v>
      </c>
      <c r="G267">
        <v>700001280</v>
      </c>
      <c r="H267" s="1">
        <v>45511</v>
      </c>
      <c r="I267">
        <f>YEAR(Table1[[#This Row],[Posting Date]])</f>
        <v>2024</v>
      </c>
      <c r="J267">
        <f>MONTH(Table1[[#This Row],[Posting Date]])</f>
        <v>8</v>
      </c>
      <c r="K267" t="str">
        <f>IF(Table1[[#This Row],[Type]]="IN",VLOOKUP(Table1[[#This Row],[Cust '#]],ClientInfo!$A:$D,4,0),"")</f>
        <v/>
      </c>
      <c r="L267" s="1" t="str">
        <f>IF(K267="NET30",Table1[[#This Row],[Posting Date]]+30,IF(K267="NET15",Table1[[#This Row],[Posting Date]]+15,IF(K267="COD",Table1[[#This Row],[Posting Date]],"")))</f>
        <v/>
      </c>
      <c r="M267" s="4" t="str">
        <f>IFERROR(IF(Table1[[#This Row],[Type]]="IN",Table1[[#This Row],[RC Date]]-Table1[[#This Row],[Posting Date]],""),"")</f>
        <v/>
      </c>
      <c r="N267">
        <f>IFERROR(IF(Table1[[#This Row],[Balance Due (LC)]]&lt;&gt;0,$S$1-L267,0),"")</f>
        <v>0</v>
      </c>
      <c r="O267" t="str">
        <f>IFERROR(IF(Table1[[#This Row],[Type]]="IN",Table1[[#This Row],[C/D (LC)]],IF(Table1[[#This Row],[Type]]="CN",Table1[[#This Row],[C/D (LC)]],"")),"")</f>
        <v/>
      </c>
      <c r="P267" t="str">
        <f>VLOOKUP(Table1[[#This Row],[Cust '#]],ClientInfo!$A:$B,2,0)</f>
        <v>Client_04</v>
      </c>
    </row>
    <row r="268" spans="1:16">
      <c r="A268" t="s">
        <v>110</v>
      </c>
      <c r="B268" t="s">
        <v>10</v>
      </c>
      <c r="C268">
        <v>700001321</v>
      </c>
      <c r="D268" s="1">
        <v>45516</v>
      </c>
      <c r="E268">
        <v>-7043.4</v>
      </c>
      <c r="F268">
        <v>0</v>
      </c>
      <c r="G268">
        <v>700001321</v>
      </c>
      <c r="H268" s="1">
        <v>45516</v>
      </c>
      <c r="I268">
        <f>YEAR(Table1[[#This Row],[Posting Date]])</f>
        <v>2024</v>
      </c>
      <c r="J268">
        <f>MONTH(Table1[[#This Row],[Posting Date]])</f>
        <v>8</v>
      </c>
      <c r="K268" t="str">
        <f>IF(Table1[[#This Row],[Type]]="IN",VLOOKUP(Table1[[#This Row],[Cust '#]],ClientInfo!$A:$D,4,0),"")</f>
        <v/>
      </c>
      <c r="L268" s="1" t="str">
        <f>IF(K268="NET30",Table1[[#This Row],[Posting Date]]+30,IF(K268="NET15",Table1[[#This Row],[Posting Date]]+15,IF(K268="COD",Table1[[#This Row],[Posting Date]],"")))</f>
        <v/>
      </c>
      <c r="M268" s="4" t="str">
        <f>IFERROR(IF(Table1[[#This Row],[Type]]="IN",Table1[[#This Row],[RC Date]]-Table1[[#This Row],[Posting Date]],""),"")</f>
        <v/>
      </c>
      <c r="N268">
        <f>IFERROR(IF(Table1[[#This Row],[Balance Due (LC)]]&lt;&gt;0,$S$1-L268,0),"")</f>
        <v>0</v>
      </c>
      <c r="O268" t="str">
        <f>IFERROR(IF(Table1[[#This Row],[Type]]="IN",Table1[[#This Row],[C/D (LC)]],IF(Table1[[#This Row],[Type]]="CN",Table1[[#This Row],[C/D (LC)]],"")),"")</f>
        <v/>
      </c>
      <c r="P268" t="str">
        <f>VLOOKUP(Table1[[#This Row],[Cust '#]],ClientInfo!$A:$B,2,0)</f>
        <v>Client_04</v>
      </c>
    </row>
    <row r="269" spans="1:16">
      <c r="A269" t="s">
        <v>110</v>
      </c>
      <c r="B269" t="s">
        <v>12</v>
      </c>
      <c r="C269">
        <v>140011965</v>
      </c>
      <c r="D269" s="1">
        <v>45518</v>
      </c>
      <c r="E269">
        <v>5421.6</v>
      </c>
      <c r="F269">
        <v>0</v>
      </c>
      <c r="G269">
        <v>700001482</v>
      </c>
      <c r="H269" s="1">
        <v>45534</v>
      </c>
      <c r="I269">
        <f>YEAR(Table1[[#This Row],[Posting Date]])</f>
        <v>2024</v>
      </c>
      <c r="J269">
        <f>MONTH(Table1[[#This Row],[Posting Date]])</f>
        <v>8</v>
      </c>
      <c r="K269" t="str">
        <f>IF(Table1[[#This Row],[Type]]="IN",VLOOKUP(Table1[[#This Row],[Cust '#]],ClientInfo!$A:$D,4,0),"")</f>
        <v>NET30</v>
      </c>
      <c r="L269" s="1">
        <f>IF(K269="NET30",Table1[[#This Row],[Posting Date]]+30,IF(K269="NET15",Table1[[#This Row],[Posting Date]]+15,IF(K269="COD",Table1[[#This Row],[Posting Date]],"")))</f>
        <v>45548</v>
      </c>
      <c r="M269" s="4">
        <f>IFERROR(IF(Table1[[#This Row],[Type]]="IN",Table1[[#This Row],[RC Date]]-Table1[[#This Row],[Posting Date]],""),"")</f>
        <v>16</v>
      </c>
      <c r="N269">
        <f>IFERROR(IF(Table1[[#This Row],[Balance Due (LC)]]&lt;&gt;0,$S$1-L269,0),"")</f>
        <v>0</v>
      </c>
      <c r="O269">
        <f>IFERROR(IF(Table1[[#This Row],[Type]]="IN",Table1[[#This Row],[C/D (LC)]],IF(Table1[[#This Row],[Type]]="CN",Table1[[#This Row],[C/D (LC)]],"")),"")</f>
        <v>5421.6</v>
      </c>
      <c r="P269" t="str">
        <f>VLOOKUP(Table1[[#This Row],[Cust '#]],ClientInfo!$A:$B,2,0)</f>
        <v>Client_04</v>
      </c>
    </row>
    <row r="270" spans="1:16">
      <c r="A270" t="s">
        <v>110</v>
      </c>
      <c r="B270" t="s">
        <v>10</v>
      </c>
      <c r="C270">
        <v>700001378</v>
      </c>
      <c r="D270" s="1">
        <v>45523</v>
      </c>
      <c r="E270">
        <v>-5425.28</v>
      </c>
      <c r="F270">
        <v>0</v>
      </c>
      <c r="G270">
        <v>700001378</v>
      </c>
      <c r="H270" s="1">
        <v>45523</v>
      </c>
      <c r="I270">
        <f>YEAR(Table1[[#This Row],[Posting Date]])</f>
        <v>2024</v>
      </c>
      <c r="J270">
        <f>MONTH(Table1[[#This Row],[Posting Date]])</f>
        <v>8</v>
      </c>
      <c r="K270" t="str">
        <f>IF(Table1[[#This Row],[Type]]="IN",VLOOKUP(Table1[[#This Row],[Cust '#]],ClientInfo!$A:$D,4,0),"")</f>
        <v/>
      </c>
      <c r="L270" s="1" t="str">
        <f>IF(K270="NET30",Table1[[#This Row],[Posting Date]]+30,IF(K270="NET15",Table1[[#This Row],[Posting Date]]+15,IF(K270="COD",Table1[[#This Row],[Posting Date]],"")))</f>
        <v/>
      </c>
      <c r="M270" s="4" t="str">
        <f>IFERROR(IF(Table1[[#This Row],[Type]]="IN",Table1[[#This Row],[RC Date]]-Table1[[#This Row],[Posting Date]],""),"")</f>
        <v/>
      </c>
      <c r="N270">
        <f>IFERROR(IF(Table1[[#This Row],[Balance Due (LC)]]&lt;&gt;0,$S$1-L270,0),"")</f>
        <v>0</v>
      </c>
      <c r="O270" t="str">
        <f>IFERROR(IF(Table1[[#This Row],[Type]]="IN",Table1[[#This Row],[C/D (LC)]],IF(Table1[[#This Row],[Type]]="CN",Table1[[#This Row],[C/D (LC)]],"")),"")</f>
        <v/>
      </c>
      <c r="P270" t="str">
        <f>VLOOKUP(Table1[[#This Row],[Cust '#]],ClientInfo!$A:$B,2,0)</f>
        <v>Client_04</v>
      </c>
    </row>
    <row r="271" spans="1:16">
      <c r="A271" t="s">
        <v>110</v>
      </c>
      <c r="B271" t="s">
        <v>12</v>
      </c>
      <c r="C271">
        <v>140012297</v>
      </c>
      <c r="D271" s="1">
        <v>45525</v>
      </c>
      <c r="E271">
        <v>4205.8999999999996</v>
      </c>
      <c r="F271">
        <v>0</v>
      </c>
      <c r="G271">
        <v>700001482</v>
      </c>
      <c r="H271" s="1">
        <v>45534</v>
      </c>
      <c r="I271">
        <f>YEAR(Table1[[#This Row],[Posting Date]])</f>
        <v>2024</v>
      </c>
      <c r="J271">
        <f>MONTH(Table1[[#This Row],[Posting Date]])</f>
        <v>8</v>
      </c>
      <c r="K271" t="str">
        <f>IF(Table1[[#This Row],[Type]]="IN",VLOOKUP(Table1[[#This Row],[Cust '#]],ClientInfo!$A:$D,4,0),"")</f>
        <v>NET30</v>
      </c>
      <c r="L271" s="1">
        <f>IF(K271="NET30",Table1[[#This Row],[Posting Date]]+30,IF(K271="NET15",Table1[[#This Row],[Posting Date]]+15,IF(K271="COD",Table1[[#This Row],[Posting Date]],"")))</f>
        <v>45555</v>
      </c>
      <c r="M271" s="4">
        <f>IFERROR(IF(Table1[[#This Row],[Type]]="IN",Table1[[#This Row],[RC Date]]-Table1[[#This Row],[Posting Date]],""),"")</f>
        <v>9</v>
      </c>
      <c r="N271">
        <f>IFERROR(IF(Table1[[#This Row],[Balance Due (LC)]]&lt;&gt;0,$S$1-L271,0),"")</f>
        <v>0</v>
      </c>
      <c r="O271">
        <f>IFERROR(IF(Table1[[#This Row],[Type]]="IN",Table1[[#This Row],[C/D (LC)]],IF(Table1[[#This Row],[Type]]="CN",Table1[[#This Row],[C/D (LC)]],"")),"")</f>
        <v>4205.8999999999996</v>
      </c>
      <c r="P271" t="str">
        <f>VLOOKUP(Table1[[#This Row],[Cust '#]],ClientInfo!$A:$B,2,0)</f>
        <v>Client_04</v>
      </c>
    </row>
    <row r="272" spans="1:16">
      <c r="A272" t="s">
        <v>110</v>
      </c>
      <c r="B272" t="s">
        <v>12</v>
      </c>
      <c r="C272">
        <v>140012600</v>
      </c>
      <c r="D272" s="1">
        <v>45532</v>
      </c>
      <c r="E272">
        <v>7833.2</v>
      </c>
      <c r="F272">
        <v>0</v>
      </c>
      <c r="G272">
        <v>700001534</v>
      </c>
      <c r="H272" s="1">
        <v>45544</v>
      </c>
      <c r="I272">
        <f>YEAR(Table1[[#This Row],[Posting Date]])</f>
        <v>2024</v>
      </c>
      <c r="J272">
        <f>MONTH(Table1[[#This Row],[Posting Date]])</f>
        <v>8</v>
      </c>
      <c r="K272" t="str">
        <f>IF(Table1[[#This Row],[Type]]="IN",VLOOKUP(Table1[[#This Row],[Cust '#]],ClientInfo!$A:$D,4,0),"")</f>
        <v>NET30</v>
      </c>
      <c r="L272" s="1">
        <f>IF(K272="NET30",Table1[[#This Row],[Posting Date]]+30,IF(K272="NET15",Table1[[#This Row],[Posting Date]]+15,IF(K272="COD",Table1[[#This Row],[Posting Date]],"")))</f>
        <v>45562</v>
      </c>
      <c r="M272" s="4">
        <f>IFERROR(IF(Table1[[#This Row],[Type]]="IN",Table1[[#This Row],[RC Date]]-Table1[[#This Row],[Posting Date]],""),"")</f>
        <v>12</v>
      </c>
      <c r="N272">
        <f>IFERROR(IF(Table1[[#This Row],[Balance Due (LC)]]&lt;&gt;0,$S$1-L272,0),"")</f>
        <v>0</v>
      </c>
      <c r="O272">
        <f>IFERROR(IF(Table1[[#This Row],[Type]]="IN",Table1[[#This Row],[C/D (LC)]],IF(Table1[[#This Row],[Type]]="CN",Table1[[#This Row],[C/D (LC)]],"")),"")</f>
        <v>7833.2</v>
      </c>
      <c r="P272" t="str">
        <f>VLOOKUP(Table1[[#This Row],[Cust '#]],ClientInfo!$A:$B,2,0)</f>
        <v>Client_04</v>
      </c>
    </row>
    <row r="273" spans="1:16">
      <c r="A273" t="s">
        <v>110</v>
      </c>
      <c r="B273" t="s">
        <v>10</v>
      </c>
      <c r="C273">
        <v>700001482</v>
      </c>
      <c r="D273" s="1">
        <v>45534</v>
      </c>
      <c r="E273">
        <v>-9627.5</v>
      </c>
      <c r="F273">
        <v>0</v>
      </c>
      <c r="G273">
        <v>700001482</v>
      </c>
      <c r="H273" s="1">
        <v>45534</v>
      </c>
      <c r="I273">
        <f>YEAR(Table1[[#This Row],[Posting Date]])</f>
        <v>2024</v>
      </c>
      <c r="J273">
        <f>MONTH(Table1[[#This Row],[Posting Date]])</f>
        <v>8</v>
      </c>
      <c r="K273" t="str">
        <f>IF(Table1[[#This Row],[Type]]="IN",VLOOKUP(Table1[[#This Row],[Cust '#]],ClientInfo!$A:$D,4,0),"")</f>
        <v/>
      </c>
      <c r="L273" s="1" t="str">
        <f>IF(K273="NET30",Table1[[#This Row],[Posting Date]]+30,IF(K273="NET15",Table1[[#This Row],[Posting Date]]+15,IF(K273="COD",Table1[[#This Row],[Posting Date]],"")))</f>
        <v/>
      </c>
      <c r="M273" s="4" t="str">
        <f>IFERROR(IF(Table1[[#This Row],[Type]]="IN",Table1[[#This Row],[RC Date]]-Table1[[#This Row],[Posting Date]],""),"")</f>
        <v/>
      </c>
      <c r="N273">
        <f>IFERROR(IF(Table1[[#This Row],[Balance Due (LC)]]&lt;&gt;0,$S$1-L273,0),"")</f>
        <v>0</v>
      </c>
      <c r="O273" t="str">
        <f>IFERROR(IF(Table1[[#This Row],[Type]]="IN",Table1[[#This Row],[C/D (LC)]],IF(Table1[[#This Row],[Type]]="CN",Table1[[#This Row],[C/D (LC)]],"")),"")</f>
        <v/>
      </c>
      <c r="P273" t="str">
        <f>VLOOKUP(Table1[[#This Row],[Cust '#]],ClientInfo!$A:$B,2,0)</f>
        <v>Client_04</v>
      </c>
    </row>
    <row r="274" spans="1:16">
      <c r="A274" t="s">
        <v>110</v>
      </c>
      <c r="B274" t="s">
        <v>12</v>
      </c>
      <c r="C274">
        <v>140012913</v>
      </c>
      <c r="D274" s="1">
        <v>45539</v>
      </c>
      <c r="E274">
        <v>1780.28</v>
      </c>
      <c r="F274">
        <v>0</v>
      </c>
      <c r="G274">
        <v>700001594</v>
      </c>
      <c r="H274" s="1">
        <v>45552</v>
      </c>
      <c r="I274">
        <f>YEAR(Table1[[#This Row],[Posting Date]])</f>
        <v>2024</v>
      </c>
      <c r="J274">
        <f>MONTH(Table1[[#This Row],[Posting Date]])</f>
        <v>9</v>
      </c>
      <c r="K274" t="str">
        <f>IF(Table1[[#This Row],[Type]]="IN",VLOOKUP(Table1[[#This Row],[Cust '#]],ClientInfo!$A:$D,4,0),"")</f>
        <v>NET30</v>
      </c>
      <c r="L274" s="1">
        <f>IF(K274="NET30",Table1[[#This Row],[Posting Date]]+30,IF(K274="NET15",Table1[[#This Row],[Posting Date]]+15,IF(K274="COD",Table1[[#This Row],[Posting Date]],"")))</f>
        <v>45569</v>
      </c>
      <c r="M274" s="4">
        <f>IFERROR(IF(Table1[[#This Row],[Type]]="IN",Table1[[#This Row],[RC Date]]-Table1[[#This Row],[Posting Date]],""),"")</f>
        <v>13</v>
      </c>
      <c r="N274">
        <f>IFERROR(IF(Table1[[#This Row],[Balance Due (LC)]]&lt;&gt;0,$S$1-L274,0),"")</f>
        <v>0</v>
      </c>
      <c r="O274">
        <f>IFERROR(IF(Table1[[#This Row],[Type]]="IN",Table1[[#This Row],[C/D (LC)]],IF(Table1[[#This Row],[Type]]="CN",Table1[[#This Row],[C/D (LC)]],"")),"")</f>
        <v>1780.28</v>
      </c>
      <c r="P274" t="str">
        <f>VLOOKUP(Table1[[#This Row],[Cust '#]],ClientInfo!$A:$B,2,0)</f>
        <v>Client_04</v>
      </c>
    </row>
    <row r="275" spans="1:16">
      <c r="A275" t="s">
        <v>110</v>
      </c>
      <c r="B275" t="s">
        <v>10</v>
      </c>
      <c r="C275">
        <v>700001534</v>
      </c>
      <c r="D275" s="1">
        <v>45544</v>
      </c>
      <c r="E275">
        <v>-7833.2</v>
      </c>
      <c r="F275">
        <v>0</v>
      </c>
      <c r="G275">
        <v>700001534</v>
      </c>
      <c r="H275" s="1">
        <v>45544</v>
      </c>
      <c r="I275">
        <f>YEAR(Table1[[#This Row],[Posting Date]])</f>
        <v>2024</v>
      </c>
      <c r="J275">
        <f>MONTH(Table1[[#This Row],[Posting Date]])</f>
        <v>9</v>
      </c>
      <c r="K275" t="str">
        <f>IF(Table1[[#This Row],[Type]]="IN",VLOOKUP(Table1[[#This Row],[Cust '#]],ClientInfo!$A:$D,4,0),"")</f>
        <v/>
      </c>
      <c r="L275" s="1" t="str">
        <f>IF(K275="NET30",Table1[[#This Row],[Posting Date]]+30,IF(K275="NET15",Table1[[#This Row],[Posting Date]]+15,IF(K275="COD",Table1[[#This Row],[Posting Date]],"")))</f>
        <v/>
      </c>
      <c r="M275" s="4" t="str">
        <f>IFERROR(IF(Table1[[#This Row],[Type]]="IN",Table1[[#This Row],[RC Date]]-Table1[[#This Row],[Posting Date]],""),"")</f>
        <v/>
      </c>
      <c r="N275">
        <f>IFERROR(IF(Table1[[#This Row],[Balance Due (LC)]]&lt;&gt;0,$S$1-L275,0),"")</f>
        <v>0</v>
      </c>
      <c r="O275" t="str">
        <f>IFERROR(IF(Table1[[#This Row],[Type]]="IN",Table1[[#This Row],[C/D (LC)]],IF(Table1[[#This Row],[Type]]="CN",Table1[[#This Row],[C/D (LC)]],"")),"")</f>
        <v/>
      </c>
      <c r="P275" t="str">
        <f>VLOOKUP(Table1[[#This Row],[Cust '#]],ClientInfo!$A:$B,2,0)</f>
        <v>Client_04</v>
      </c>
    </row>
    <row r="276" spans="1:16">
      <c r="A276" t="s">
        <v>110</v>
      </c>
      <c r="B276" t="s">
        <v>12</v>
      </c>
      <c r="C276">
        <v>140013257</v>
      </c>
      <c r="D276" s="1">
        <v>45546</v>
      </c>
      <c r="E276">
        <v>7287.4</v>
      </c>
      <c r="F276">
        <v>0</v>
      </c>
      <c r="G276">
        <v>700001639</v>
      </c>
      <c r="H276" s="1">
        <v>45555</v>
      </c>
      <c r="I276">
        <f>YEAR(Table1[[#This Row],[Posting Date]])</f>
        <v>2024</v>
      </c>
      <c r="J276">
        <f>MONTH(Table1[[#This Row],[Posting Date]])</f>
        <v>9</v>
      </c>
      <c r="K276" t="str">
        <f>IF(Table1[[#This Row],[Type]]="IN",VLOOKUP(Table1[[#This Row],[Cust '#]],ClientInfo!$A:$D,4,0),"")</f>
        <v>NET30</v>
      </c>
      <c r="L276" s="1">
        <f>IF(K276="NET30",Table1[[#This Row],[Posting Date]]+30,IF(K276="NET15",Table1[[#This Row],[Posting Date]]+15,IF(K276="COD",Table1[[#This Row],[Posting Date]],"")))</f>
        <v>45576</v>
      </c>
      <c r="M276" s="4">
        <f>IFERROR(IF(Table1[[#This Row],[Type]]="IN",Table1[[#This Row],[RC Date]]-Table1[[#This Row],[Posting Date]],""),"")</f>
        <v>9</v>
      </c>
      <c r="N276">
        <f>IFERROR(IF(Table1[[#This Row],[Balance Due (LC)]]&lt;&gt;0,$S$1-L276,0),"")</f>
        <v>0</v>
      </c>
      <c r="O276">
        <f>IFERROR(IF(Table1[[#This Row],[Type]]="IN",Table1[[#This Row],[C/D (LC)]],IF(Table1[[#This Row],[Type]]="CN",Table1[[#This Row],[C/D (LC)]],"")),"")</f>
        <v>7287.4</v>
      </c>
      <c r="P276" t="str">
        <f>VLOOKUP(Table1[[#This Row],[Cust '#]],ClientInfo!$A:$B,2,0)</f>
        <v>Client_04</v>
      </c>
    </row>
    <row r="277" spans="1:16">
      <c r="A277" t="s">
        <v>110</v>
      </c>
      <c r="B277" t="s">
        <v>10</v>
      </c>
      <c r="C277">
        <v>700001594</v>
      </c>
      <c r="D277" s="1">
        <v>45552</v>
      </c>
      <c r="E277">
        <v>-1780.28</v>
      </c>
      <c r="F277">
        <v>0</v>
      </c>
      <c r="G277">
        <v>700001594</v>
      </c>
      <c r="H277" s="1">
        <v>45552</v>
      </c>
      <c r="I277">
        <f>YEAR(Table1[[#This Row],[Posting Date]])</f>
        <v>2024</v>
      </c>
      <c r="J277">
        <f>MONTH(Table1[[#This Row],[Posting Date]])</f>
        <v>9</v>
      </c>
      <c r="K277" t="str">
        <f>IF(Table1[[#This Row],[Type]]="IN",VLOOKUP(Table1[[#This Row],[Cust '#]],ClientInfo!$A:$D,4,0),"")</f>
        <v/>
      </c>
      <c r="L277" s="1" t="str">
        <f>IF(K277="NET30",Table1[[#This Row],[Posting Date]]+30,IF(K277="NET15",Table1[[#This Row],[Posting Date]]+15,IF(K277="COD",Table1[[#This Row],[Posting Date]],"")))</f>
        <v/>
      </c>
      <c r="M277" s="4" t="str">
        <f>IFERROR(IF(Table1[[#This Row],[Type]]="IN",Table1[[#This Row],[RC Date]]-Table1[[#This Row],[Posting Date]],""),"")</f>
        <v/>
      </c>
      <c r="N277">
        <f>IFERROR(IF(Table1[[#This Row],[Balance Due (LC)]]&lt;&gt;0,$S$1-L277,0),"")</f>
        <v>0</v>
      </c>
      <c r="O277" t="str">
        <f>IFERROR(IF(Table1[[#This Row],[Type]]="IN",Table1[[#This Row],[C/D (LC)]],IF(Table1[[#This Row],[Type]]="CN",Table1[[#This Row],[C/D (LC)]],"")),"")</f>
        <v/>
      </c>
      <c r="P277" t="str">
        <f>VLOOKUP(Table1[[#This Row],[Cust '#]],ClientInfo!$A:$B,2,0)</f>
        <v>Client_04</v>
      </c>
    </row>
    <row r="278" spans="1:16">
      <c r="A278" t="s">
        <v>110</v>
      </c>
      <c r="B278" t="s">
        <v>12</v>
      </c>
      <c r="C278">
        <v>140013605</v>
      </c>
      <c r="D278" s="1">
        <v>45553</v>
      </c>
      <c r="E278">
        <v>3849.3</v>
      </c>
      <c r="F278">
        <v>0</v>
      </c>
      <c r="G278">
        <v>700001690</v>
      </c>
      <c r="H278" s="1">
        <v>45562</v>
      </c>
      <c r="I278">
        <f>YEAR(Table1[[#This Row],[Posting Date]])</f>
        <v>2024</v>
      </c>
      <c r="J278">
        <f>MONTH(Table1[[#This Row],[Posting Date]])</f>
        <v>9</v>
      </c>
      <c r="K278" t="str">
        <f>IF(Table1[[#This Row],[Type]]="IN",VLOOKUP(Table1[[#This Row],[Cust '#]],ClientInfo!$A:$D,4,0),"")</f>
        <v>NET30</v>
      </c>
      <c r="L278" s="1">
        <f>IF(K278="NET30",Table1[[#This Row],[Posting Date]]+30,IF(K278="NET15",Table1[[#This Row],[Posting Date]]+15,IF(K278="COD",Table1[[#This Row],[Posting Date]],"")))</f>
        <v>45583</v>
      </c>
      <c r="M278" s="4">
        <f>IFERROR(IF(Table1[[#This Row],[Type]]="IN",Table1[[#This Row],[RC Date]]-Table1[[#This Row],[Posting Date]],""),"")</f>
        <v>9</v>
      </c>
      <c r="N278">
        <f>IFERROR(IF(Table1[[#This Row],[Balance Due (LC)]]&lt;&gt;0,$S$1-L278,0),"")</f>
        <v>0</v>
      </c>
      <c r="O278">
        <f>IFERROR(IF(Table1[[#This Row],[Type]]="IN",Table1[[#This Row],[C/D (LC)]],IF(Table1[[#This Row],[Type]]="CN",Table1[[#This Row],[C/D (LC)]],"")),"")</f>
        <v>3849.3</v>
      </c>
      <c r="P278" t="str">
        <f>VLOOKUP(Table1[[#This Row],[Cust '#]],ClientInfo!$A:$B,2,0)</f>
        <v>Client_04</v>
      </c>
    </row>
    <row r="279" spans="1:16">
      <c r="A279" t="s">
        <v>110</v>
      </c>
      <c r="B279" t="s">
        <v>12</v>
      </c>
      <c r="C279">
        <v>140013606</v>
      </c>
      <c r="D279" s="1">
        <v>45553</v>
      </c>
      <c r="E279">
        <v>208</v>
      </c>
      <c r="F279">
        <v>0</v>
      </c>
      <c r="G279">
        <v>700001690</v>
      </c>
      <c r="H279" s="1">
        <v>45562</v>
      </c>
      <c r="I279">
        <f>YEAR(Table1[[#This Row],[Posting Date]])</f>
        <v>2024</v>
      </c>
      <c r="J279">
        <f>MONTH(Table1[[#This Row],[Posting Date]])</f>
        <v>9</v>
      </c>
      <c r="K279" t="str">
        <f>IF(Table1[[#This Row],[Type]]="IN",VLOOKUP(Table1[[#This Row],[Cust '#]],ClientInfo!$A:$D,4,0),"")</f>
        <v>NET30</v>
      </c>
      <c r="L279" s="1">
        <f>IF(K279="NET30",Table1[[#This Row],[Posting Date]]+30,IF(K279="NET15",Table1[[#This Row],[Posting Date]]+15,IF(K279="COD",Table1[[#This Row],[Posting Date]],"")))</f>
        <v>45583</v>
      </c>
      <c r="M279" s="4">
        <f>IFERROR(IF(Table1[[#This Row],[Type]]="IN",Table1[[#This Row],[RC Date]]-Table1[[#This Row],[Posting Date]],""),"")</f>
        <v>9</v>
      </c>
      <c r="N279">
        <f>IFERROR(IF(Table1[[#This Row],[Balance Due (LC)]]&lt;&gt;0,$S$1-L279,0),"")</f>
        <v>0</v>
      </c>
      <c r="O279">
        <f>IFERROR(IF(Table1[[#This Row],[Type]]="IN",Table1[[#This Row],[C/D (LC)]],IF(Table1[[#This Row],[Type]]="CN",Table1[[#This Row],[C/D (LC)]],"")),"")</f>
        <v>208</v>
      </c>
      <c r="P279" t="str">
        <f>VLOOKUP(Table1[[#This Row],[Cust '#]],ClientInfo!$A:$B,2,0)</f>
        <v>Client_04</v>
      </c>
    </row>
    <row r="280" spans="1:16">
      <c r="A280" t="s">
        <v>110</v>
      </c>
      <c r="B280" t="s">
        <v>10</v>
      </c>
      <c r="C280">
        <v>700001639</v>
      </c>
      <c r="D280" s="1">
        <v>45555</v>
      </c>
      <c r="E280">
        <v>-7287.4</v>
      </c>
      <c r="F280">
        <v>0</v>
      </c>
      <c r="G280">
        <v>700001639</v>
      </c>
      <c r="H280" s="1">
        <v>45555</v>
      </c>
      <c r="I280">
        <f>YEAR(Table1[[#This Row],[Posting Date]])</f>
        <v>2024</v>
      </c>
      <c r="J280">
        <f>MONTH(Table1[[#This Row],[Posting Date]])</f>
        <v>9</v>
      </c>
      <c r="K280" t="str">
        <f>IF(Table1[[#This Row],[Type]]="IN",VLOOKUP(Table1[[#This Row],[Cust '#]],ClientInfo!$A:$D,4,0),"")</f>
        <v/>
      </c>
      <c r="L280" s="1" t="str">
        <f>IF(K280="NET30",Table1[[#This Row],[Posting Date]]+30,IF(K280="NET15",Table1[[#This Row],[Posting Date]]+15,IF(K280="COD",Table1[[#This Row],[Posting Date]],"")))</f>
        <v/>
      </c>
      <c r="M280" s="4" t="str">
        <f>IFERROR(IF(Table1[[#This Row],[Type]]="IN",Table1[[#This Row],[RC Date]]-Table1[[#This Row],[Posting Date]],""),"")</f>
        <v/>
      </c>
      <c r="N280">
        <f>IFERROR(IF(Table1[[#This Row],[Balance Due (LC)]]&lt;&gt;0,$S$1-L280,0),"")</f>
        <v>0</v>
      </c>
      <c r="O280" t="str">
        <f>IFERROR(IF(Table1[[#This Row],[Type]]="IN",Table1[[#This Row],[C/D (LC)]],IF(Table1[[#This Row],[Type]]="CN",Table1[[#This Row],[C/D (LC)]],"")),"")</f>
        <v/>
      </c>
      <c r="P280" t="str">
        <f>VLOOKUP(Table1[[#This Row],[Cust '#]],ClientInfo!$A:$B,2,0)</f>
        <v>Client_04</v>
      </c>
    </row>
    <row r="281" spans="1:16">
      <c r="A281" t="s">
        <v>110</v>
      </c>
      <c r="B281" t="s">
        <v>13</v>
      </c>
      <c r="C281">
        <v>150000602</v>
      </c>
      <c r="D281" s="1">
        <v>45555</v>
      </c>
      <c r="E281">
        <v>-1053.4000000000001</v>
      </c>
      <c r="F281">
        <v>0</v>
      </c>
      <c r="G281">
        <v>700001818</v>
      </c>
      <c r="H281" s="1">
        <v>45580</v>
      </c>
      <c r="I281">
        <f>YEAR(Table1[[#This Row],[Posting Date]])</f>
        <v>2024</v>
      </c>
      <c r="J281">
        <f>MONTH(Table1[[#This Row],[Posting Date]])</f>
        <v>9</v>
      </c>
      <c r="K281" t="str">
        <f>IF(Table1[[#This Row],[Type]]="IN",VLOOKUP(Table1[[#This Row],[Cust '#]],ClientInfo!$A:$D,4,0),"")</f>
        <v/>
      </c>
      <c r="L281" s="1" t="str">
        <f>IF(K281="NET30",Table1[[#This Row],[Posting Date]]+30,IF(K281="NET15",Table1[[#This Row],[Posting Date]]+15,IF(K281="COD",Table1[[#This Row],[Posting Date]],"")))</f>
        <v/>
      </c>
      <c r="M281" s="4" t="str">
        <f>IFERROR(IF(Table1[[#This Row],[Type]]="IN",Table1[[#This Row],[RC Date]]-Table1[[#This Row],[Posting Date]],""),"")</f>
        <v/>
      </c>
      <c r="N281">
        <f>IFERROR(IF(Table1[[#This Row],[Balance Due (LC)]]&lt;&gt;0,$S$1-L281,0),"")</f>
        <v>0</v>
      </c>
      <c r="O281">
        <f>IFERROR(IF(Table1[[#This Row],[Type]]="IN",Table1[[#This Row],[C/D (LC)]],IF(Table1[[#This Row],[Type]]="CN",Table1[[#This Row],[C/D (LC)]],"")),"")</f>
        <v>-1053.4000000000001</v>
      </c>
      <c r="P281" t="str">
        <f>VLOOKUP(Table1[[#This Row],[Cust '#]],ClientInfo!$A:$B,2,0)</f>
        <v>Client_04</v>
      </c>
    </row>
    <row r="282" spans="1:16">
      <c r="A282" t="s">
        <v>110</v>
      </c>
      <c r="B282" t="s">
        <v>10</v>
      </c>
      <c r="C282">
        <v>700001690</v>
      </c>
      <c r="D282" s="1">
        <v>45562</v>
      </c>
      <c r="E282">
        <v>-4057.3</v>
      </c>
      <c r="F282">
        <v>0</v>
      </c>
      <c r="G282">
        <v>700001690</v>
      </c>
      <c r="H282" s="1">
        <v>45562</v>
      </c>
      <c r="I282">
        <f>YEAR(Table1[[#This Row],[Posting Date]])</f>
        <v>2024</v>
      </c>
      <c r="J282">
        <f>MONTH(Table1[[#This Row],[Posting Date]])</f>
        <v>9</v>
      </c>
      <c r="K282" t="str">
        <f>IF(Table1[[#This Row],[Type]]="IN",VLOOKUP(Table1[[#This Row],[Cust '#]],ClientInfo!$A:$D,4,0),"")</f>
        <v/>
      </c>
      <c r="L282" s="1" t="str">
        <f>IF(K282="NET30",Table1[[#This Row],[Posting Date]]+30,IF(K282="NET15",Table1[[#This Row],[Posting Date]]+15,IF(K282="COD",Table1[[#This Row],[Posting Date]],"")))</f>
        <v/>
      </c>
      <c r="M282" s="4" t="str">
        <f>IFERROR(IF(Table1[[#This Row],[Type]]="IN",Table1[[#This Row],[RC Date]]-Table1[[#This Row],[Posting Date]],""),"")</f>
        <v/>
      </c>
      <c r="N282">
        <f>IFERROR(IF(Table1[[#This Row],[Balance Due (LC)]]&lt;&gt;0,$S$1-L282,0),"")</f>
        <v>0</v>
      </c>
      <c r="O282" t="str">
        <f>IFERROR(IF(Table1[[#This Row],[Type]]="IN",Table1[[#This Row],[C/D (LC)]],IF(Table1[[#This Row],[Type]]="CN",Table1[[#This Row],[C/D (LC)]],"")),"")</f>
        <v/>
      </c>
      <c r="P282" t="str">
        <f>VLOOKUP(Table1[[#This Row],[Cust '#]],ClientInfo!$A:$B,2,0)</f>
        <v>Client_04</v>
      </c>
    </row>
    <row r="283" spans="1:16">
      <c r="A283" t="s">
        <v>110</v>
      </c>
      <c r="B283" t="s">
        <v>12</v>
      </c>
      <c r="C283">
        <v>140014212</v>
      </c>
      <c r="D283" s="1">
        <v>45565</v>
      </c>
      <c r="E283">
        <v>261.68</v>
      </c>
      <c r="F283">
        <v>0</v>
      </c>
      <c r="G283">
        <v>700001818</v>
      </c>
      <c r="H283" s="1">
        <v>45580</v>
      </c>
      <c r="I283">
        <f>YEAR(Table1[[#This Row],[Posting Date]])</f>
        <v>2024</v>
      </c>
      <c r="J283">
        <f>MONTH(Table1[[#This Row],[Posting Date]])</f>
        <v>9</v>
      </c>
      <c r="K283" t="str">
        <f>IF(Table1[[#This Row],[Type]]="IN",VLOOKUP(Table1[[#This Row],[Cust '#]],ClientInfo!$A:$D,4,0),"")</f>
        <v>NET30</v>
      </c>
      <c r="L283" s="1">
        <f>IF(K283="NET30",Table1[[#This Row],[Posting Date]]+30,IF(K283="NET15",Table1[[#This Row],[Posting Date]]+15,IF(K283="COD",Table1[[#This Row],[Posting Date]],"")))</f>
        <v>45595</v>
      </c>
      <c r="M283" s="4">
        <f>IFERROR(IF(Table1[[#This Row],[Type]]="IN",Table1[[#This Row],[RC Date]]-Table1[[#This Row],[Posting Date]],""),"")</f>
        <v>15</v>
      </c>
      <c r="N283">
        <f>IFERROR(IF(Table1[[#This Row],[Balance Due (LC)]]&lt;&gt;0,$S$1-L283,0),"")</f>
        <v>0</v>
      </c>
      <c r="O283">
        <f>IFERROR(IF(Table1[[#This Row],[Type]]="IN",Table1[[#This Row],[C/D (LC)]],IF(Table1[[#This Row],[Type]]="CN",Table1[[#This Row],[C/D (LC)]],"")),"")</f>
        <v>261.68</v>
      </c>
      <c r="P283" t="str">
        <f>VLOOKUP(Table1[[#This Row],[Cust '#]],ClientInfo!$A:$B,2,0)</f>
        <v>Client_04</v>
      </c>
    </row>
    <row r="284" spans="1:16">
      <c r="A284" t="s">
        <v>110</v>
      </c>
      <c r="B284" t="s">
        <v>12</v>
      </c>
      <c r="C284">
        <v>140014293</v>
      </c>
      <c r="D284" s="1">
        <v>45567</v>
      </c>
      <c r="E284">
        <v>6192.6</v>
      </c>
      <c r="F284">
        <v>0</v>
      </c>
      <c r="G284">
        <v>700001818</v>
      </c>
      <c r="H284" s="1">
        <v>45580</v>
      </c>
      <c r="I284">
        <f>YEAR(Table1[[#This Row],[Posting Date]])</f>
        <v>2024</v>
      </c>
      <c r="J284">
        <f>MONTH(Table1[[#This Row],[Posting Date]])</f>
        <v>10</v>
      </c>
      <c r="K284" t="str">
        <f>IF(Table1[[#This Row],[Type]]="IN",VLOOKUP(Table1[[#This Row],[Cust '#]],ClientInfo!$A:$D,4,0),"")</f>
        <v>NET30</v>
      </c>
      <c r="L284" s="1">
        <f>IF(K284="NET30",Table1[[#This Row],[Posting Date]]+30,IF(K284="NET15",Table1[[#This Row],[Posting Date]]+15,IF(K284="COD",Table1[[#This Row],[Posting Date]],"")))</f>
        <v>45597</v>
      </c>
      <c r="M284" s="4">
        <f>IFERROR(IF(Table1[[#This Row],[Type]]="IN",Table1[[#This Row],[RC Date]]-Table1[[#This Row],[Posting Date]],""),"")</f>
        <v>13</v>
      </c>
      <c r="N284">
        <f>IFERROR(IF(Table1[[#This Row],[Balance Due (LC)]]&lt;&gt;0,$S$1-L284,0),"")</f>
        <v>0</v>
      </c>
      <c r="O284">
        <f>IFERROR(IF(Table1[[#This Row],[Type]]="IN",Table1[[#This Row],[C/D (LC)]],IF(Table1[[#This Row],[Type]]="CN",Table1[[#This Row],[C/D (LC)]],"")),"")</f>
        <v>6192.6</v>
      </c>
      <c r="P284" t="str">
        <f>VLOOKUP(Table1[[#This Row],[Cust '#]],ClientInfo!$A:$B,2,0)</f>
        <v>Client_04</v>
      </c>
    </row>
    <row r="285" spans="1:16">
      <c r="A285" t="s">
        <v>110</v>
      </c>
      <c r="B285" t="s">
        <v>12</v>
      </c>
      <c r="C285">
        <v>140014606</v>
      </c>
      <c r="D285" s="1">
        <v>45574</v>
      </c>
      <c r="E285">
        <v>3304.6</v>
      </c>
      <c r="F285">
        <v>0</v>
      </c>
      <c r="G285">
        <v>700001860</v>
      </c>
      <c r="H285" s="1">
        <v>45586</v>
      </c>
      <c r="I285">
        <f>YEAR(Table1[[#This Row],[Posting Date]])</f>
        <v>2024</v>
      </c>
      <c r="J285">
        <f>MONTH(Table1[[#This Row],[Posting Date]])</f>
        <v>10</v>
      </c>
      <c r="K285" t="str">
        <f>IF(Table1[[#This Row],[Type]]="IN",VLOOKUP(Table1[[#This Row],[Cust '#]],ClientInfo!$A:$D,4,0),"")</f>
        <v>NET30</v>
      </c>
      <c r="L285" s="1">
        <f>IF(K285="NET30",Table1[[#This Row],[Posting Date]]+30,IF(K285="NET15",Table1[[#This Row],[Posting Date]]+15,IF(K285="COD",Table1[[#This Row],[Posting Date]],"")))</f>
        <v>45604</v>
      </c>
      <c r="M285" s="4">
        <f>IFERROR(IF(Table1[[#This Row],[Type]]="IN",Table1[[#This Row],[RC Date]]-Table1[[#This Row],[Posting Date]],""),"")</f>
        <v>12</v>
      </c>
      <c r="N285">
        <f>IFERROR(IF(Table1[[#This Row],[Balance Due (LC)]]&lt;&gt;0,$S$1-L285,0),"")</f>
        <v>0</v>
      </c>
      <c r="O285">
        <f>IFERROR(IF(Table1[[#This Row],[Type]]="IN",Table1[[#This Row],[C/D (LC)]],IF(Table1[[#This Row],[Type]]="CN",Table1[[#This Row],[C/D (LC)]],"")),"")</f>
        <v>3304.6</v>
      </c>
      <c r="P285" t="str">
        <f>VLOOKUP(Table1[[#This Row],[Cust '#]],ClientInfo!$A:$B,2,0)</f>
        <v>Client_04</v>
      </c>
    </row>
    <row r="286" spans="1:16">
      <c r="A286" t="s">
        <v>110</v>
      </c>
      <c r="B286" t="s">
        <v>12</v>
      </c>
      <c r="C286">
        <v>140014607</v>
      </c>
      <c r="D286" s="1">
        <v>45574</v>
      </c>
      <c r="E286">
        <v>264</v>
      </c>
      <c r="F286">
        <v>0</v>
      </c>
      <c r="G286">
        <v>700001860</v>
      </c>
      <c r="H286" s="1">
        <v>45586</v>
      </c>
      <c r="I286">
        <f>YEAR(Table1[[#This Row],[Posting Date]])</f>
        <v>2024</v>
      </c>
      <c r="J286">
        <f>MONTH(Table1[[#This Row],[Posting Date]])</f>
        <v>10</v>
      </c>
      <c r="K286" t="str">
        <f>IF(Table1[[#This Row],[Type]]="IN",VLOOKUP(Table1[[#This Row],[Cust '#]],ClientInfo!$A:$D,4,0),"")</f>
        <v>NET30</v>
      </c>
      <c r="L286" s="1">
        <f>IF(K286="NET30",Table1[[#This Row],[Posting Date]]+30,IF(K286="NET15",Table1[[#This Row],[Posting Date]]+15,IF(K286="COD",Table1[[#This Row],[Posting Date]],"")))</f>
        <v>45604</v>
      </c>
      <c r="M286" s="4">
        <f>IFERROR(IF(Table1[[#This Row],[Type]]="IN",Table1[[#This Row],[RC Date]]-Table1[[#This Row],[Posting Date]],""),"")</f>
        <v>12</v>
      </c>
      <c r="N286">
        <f>IFERROR(IF(Table1[[#This Row],[Balance Due (LC)]]&lt;&gt;0,$S$1-L286,0),"")</f>
        <v>0</v>
      </c>
      <c r="O286">
        <f>IFERROR(IF(Table1[[#This Row],[Type]]="IN",Table1[[#This Row],[C/D (LC)]],IF(Table1[[#This Row],[Type]]="CN",Table1[[#This Row],[C/D (LC)]],"")),"")</f>
        <v>264</v>
      </c>
      <c r="P286" t="str">
        <f>VLOOKUP(Table1[[#This Row],[Cust '#]],ClientInfo!$A:$B,2,0)</f>
        <v>Client_04</v>
      </c>
    </row>
    <row r="287" spans="1:16">
      <c r="A287" t="s">
        <v>110</v>
      </c>
      <c r="B287" t="s">
        <v>10</v>
      </c>
      <c r="C287">
        <v>700001818</v>
      </c>
      <c r="D287" s="1">
        <v>45580</v>
      </c>
      <c r="E287">
        <v>-5344.58</v>
      </c>
      <c r="F287">
        <v>0</v>
      </c>
      <c r="G287">
        <v>700001818</v>
      </c>
      <c r="H287" s="1">
        <v>45580</v>
      </c>
      <c r="I287">
        <f>YEAR(Table1[[#This Row],[Posting Date]])</f>
        <v>2024</v>
      </c>
      <c r="J287">
        <f>MONTH(Table1[[#This Row],[Posting Date]])</f>
        <v>10</v>
      </c>
      <c r="K287" t="str">
        <f>IF(Table1[[#This Row],[Type]]="IN",VLOOKUP(Table1[[#This Row],[Cust '#]],ClientInfo!$A:$D,4,0),"")</f>
        <v/>
      </c>
      <c r="L287" s="1" t="str">
        <f>IF(K287="NET30",Table1[[#This Row],[Posting Date]]+30,IF(K287="NET15",Table1[[#This Row],[Posting Date]]+15,IF(K287="COD",Table1[[#This Row],[Posting Date]],"")))</f>
        <v/>
      </c>
      <c r="M287" s="4" t="str">
        <f>IFERROR(IF(Table1[[#This Row],[Type]]="IN",Table1[[#This Row],[RC Date]]-Table1[[#This Row],[Posting Date]],""),"")</f>
        <v/>
      </c>
      <c r="N287">
        <f>IFERROR(IF(Table1[[#This Row],[Balance Due (LC)]]&lt;&gt;0,$S$1-L287,0),"")</f>
        <v>0</v>
      </c>
      <c r="O287" t="str">
        <f>IFERROR(IF(Table1[[#This Row],[Type]]="IN",Table1[[#This Row],[C/D (LC)]],IF(Table1[[#This Row],[Type]]="CN",Table1[[#This Row],[C/D (LC)]],"")),"")</f>
        <v/>
      </c>
      <c r="P287" t="str">
        <f>VLOOKUP(Table1[[#This Row],[Cust '#]],ClientInfo!$A:$B,2,0)</f>
        <v>Client_04</v>
      </c>
    </row>
    <row r="288" spans="1:16">
      <c r="A288" t="s">
        <v>110</v>
      </c>
      <c r="B288" t="s">
        <v>12</v>
      </c>
      <c r="C288">
        <v>140014932</v>
      </c>
      <c r="D288" s="1">
        <v>45581</v>
      </c>
      <c r="E288">
        <v>8982.7000000000007</v>
      </c>
      <c r="F288">
        <v>0</v>
      </c>
      <c r="G288">
        <v>700001900</v>
      </c>
      <c r="H288" s="1">
        <v>45590</v>
      </c>
      <c r="I288">
        <f>YEAR(Table1[[#This Row],[Posting Date]])</f>
        <v>2024</v>
      </c>
      <c r="J288">
        <f>MONTH(Table1[[#This Row],[Posting Date]])</f>
        <v>10</v>
      </c>
      <c r="K288" t="str">
        <f>IF(Table1[[#This Row],[Type]]="IN",VLOOKUP(Table1[[#This Row],[Cust '#]],ClientInfo!$A:$D,4,0),"")</f>
        <v>NET30</v>
      </c>
      <c r="L288" s="1">
        <f>IF(K288="NET30",Table1[[#This Row],[Posting Date]]+30,IF(K288="NET15",Table1[[#This Row],[Posting Date]]+15,IF(K288="COD",Table1[[#This Row],[Posting Date]],"")))</f>
        <v>45611</v>
      </c>
      <c r="M288" s="4">
        <f>IFERROR(IF(Table1[[#This Row],[Type]]="IN",Table1[[#This Row],[RC Date]]-Table1[[#This Row],[Posting Date]],""),"")</f>
        <v>9</v>
      </c>
      <c r="N288">
        <f>IFERROR(IF(Table1[[#This Row],[Balance Due (LC)]]&lt;&gt;0,$S$1-L288,0),"")</f>
        <v>0</v>
      </c>
      <c r="O288">
        <f>IFERROR(IF(Table1[[#This Row],[Type]]="IN",Table1[[#This Row],[C/D (LC)]],IF(Table1[[#This Row],[Type]]="CN",Table1[[#This Row],[C/D (LC)]],"")),"")</f>
        <v>8982.7000000000007</v>
      </c>
      <c r="P288" t="str">
        <f>VLOOKUP(Table1[[#This Row],[Cust '#]],ClientInfo!$A:$B,2,0)</f>
        <v>Client_04</v>
      </c>
    </row>
    <row r="289" spans="1:16">
      <c r="A289" t="s">
        <v>110</v>
      </c>
      <c r="B289" t="s">
        <v>10</v>
      </c>
      <c r="C289">
        <v>700001860</v>
      </c>
      <c r="D289" s="1">
        <v>45586</v>
      </c>
      <c r="E289">
        <v>-3568.6</v>
      </c>
      <c r="F289">
        <v>0</v>
      </c>
      <c r="G289">
        <v>700001860</v>
      </c>
      <c r="H289" s="1">
        <v>45586</v>
      </c>
      <c r="I289">
        <f>YEAR(Table1[[#This Row],[Posting Date]])</f>
        <v>2024</v>
      </c>
      <c r="J289">
        <f>MONTH(Table1[[#This Row],[Posting Date]])</f>
        <v>10</v>
      </c>
      <c r="K289" t="str">
        <f>IF(Table1[[#This Row],[Type]]="IN",VLOOKUP(Table1[[#This Row],[Cust '#]],ClientInfo!$A:$D,4,0),"")</f>
        <v/>
      </c>
      <c r="L289" s="1" t="str">
        <f>IF(K289="NET30",Table1[[#This Row],[Posting Date]]+30,IF(K289="NET15",Table1[[#This Row],[Posting Date]]+15,IF(K289="COD",Table1[[#This Row],[Posting Date]],"")))</f>
        <v/>
      </c>
      <c r="M289" s="4" t="str">
        <f>IFERROR(IF(Table1[[#This Row],[Type]]="IN",Table1[[#This Row],[RC Date]]-Table1[[#This Row],[Posting Date]],""),"")</f>
        <v/>
      </c>
      <c r="N289">
        <f>IFERROR(IF(Table1[[#This Row],[Balance Due (LC)]]&lt;&gt;0,$S$1-L289,0),"")</f>
        <v>0</v>
      </c>
      <c r="O289" t="str">
        <f>IFERROR(IF(Table1[[#This Row],[Type]]="IN",Table1[[#This Row],[C/D (LC)]],IF(Table1[[#This Row],[Type]]="CN",Table1[[#This Row],[C/D (LC)]],"")),"")</f>
        <v/>
      </c>
      <c r="P289" t="str">
        <f>VLOOKUP(Table1[[#This Row],[Cust '#]],ClientInfo!$A:$B,2,0)</f>
        <v>Client_04</v>
      </c>
    </row>
    <row r="290" spans="1:16">
      <c r="A290" t="s">
        <v>110</v>
      </c>
      <c r="B290" t="s">
        <v>12</v>
      </c>
      <c r="C290">
        <v>140015242</v>
      </c>
      <c r="D290" s="1">
        <v>45588</v>
      </c>
      <c r="E290">
        <v>4122.5</v>
      </c>
      <c r="F290">
        <v>0</v>
      </c>
      <c r="G290">
        <v>700001952</v>
      </c>
      <c r="H290" s="1">
        <v>45600</v>
      </c>
      <c r="I290">
        <f>YEAR(Table1[[#This Row],[Posting Date]])</f>
        <v>2024</v>
      </c>
      <c r="J290">
        <f>MONTH(Table1[[#This Row],[Posting Date]])</f>
        <v>10</v>
      </c>
      <c r="K290" t="str">
        <f>IF(Table1[[#This Row],[Type]]="IN",VLOOKUP(Table1[[#This Row],[Cust '#]],ClientInfo!$A:$D,4,0),"")</f>
        <v>NET30</v>
      </c>
      <c r="L290" s="1">
        <f>IF(K290="NET30",Table1[[#This Row],[Posting Date]]+30,IF(K290="NET15",Table1[[#This Row],[Posting Date]]+15,IF(K290="COD",Table1[[#This Row],[Posting Date]],"")))</f>
        <v>45618</v>
      </c>
      <c r="M290" s="4">
        <f>IFERROR(IF(Table1[[#This Row],[Type]]="IN",Table1[[#This Row],[RC Date]]-Table1[[#This Row],[Posting Date]],""),"")</f>
        <v>12</v>
      </c>
      <c r="N290">
        <f>IFERROR(IF(Table1[[#This Row],[Balance Due (LC)]]&lt;&gt;0,$S$1-L290,0),"")</f>
        <v>0</v>
      </c>
      <c r="O290">
        <f>IFERROR(IF(Table1[[#This Row],[Type]]="IN",Table1[[#This Row],[C/D (LC)]],IF(Table1[[#This Row],[Type]]="CN",Table1[[#This Row],[C/D (LC)]],"")),"")</f>
        <v>4122.5</v>
      </c>
      <c r="P290" t="str">
        <f>VLOOKUP(Table1[[#This Row],[Cust '#]],ClientInfo!$A:$B,2,0)</f>
        <v>Client_04</v>
      </c>
    </row>
    <row r="291" spans="1:16">
      <c r="A291" t="s">
        <v>110</v>
      </c>
      <c r="B291" t="s">
        <v>10</v>
      </c>
      <c r="C291">
        <v>700001900</v>
      </c>
      <c r="D291" s="1">
        <v>45590</v>
      </c>
      <c r="E291">
        <v>-8982.7000000000007</v>
      </c>
      <c r="F291">
        <v>0</v>
      </c>
      <c r="G291">
        <v>700001900</v>
      </c>
      <c r="H291" s="1">
        <v>45590</v>
      </c>
      <c r="I291">
        <f>YEAR(Table1[[#This Row],[Posting Date]])</f>
        <v>2024</v>
      </c>
      <c r="J291">
        <f>MONTH(Table1[[#This Row],[Posting Date]])</f>
        <v>10</v>
      </c>
      <c r="K291" t="str">
        <f>IF(Table1[[#This Row],[Type]]="IN",VLOOKUP(Table1[[#This Row],[Cust '#]],ClientInfo!$A:$D,4,0),"")</f>
        <v/>
      </c>
      <c r="L291" s="1" t="str">
        <f>IF(K291="NET30",Table1[[#This Row],[Posting Date]]+30,IF(K291="NET15",Table1[[#This Row],[Posting Date]]+15,IF(K291="COD",Table1[[#This Row],[Posting Date]],"")))</f>
        <v/>
      </c>
      <c r="M291" s="4" t="str">
        <f>IFERROR(IF(Table1[[#This Row],[Type]]="IN",Table1[[#This Row],[RC Date]]-Table1[[#This Row],[Posting Date]],""),"")</f>
        <v/>
      </c>
      <c r="N291">
        <f>IFERROR(IF(Table1[[#This Row],[Balance Due (LC)]]&lt;&gt;0,$S$1-L291,0),"")</f>
        <v>0</v>
      </c>
      <c r="O291" t="str">
        <f>IFERROR(IF(Table1[[#This Row],[Type]]="IN",Table1[[#This Row],[C/D (LC)]],IF(Table1[[#This Row],[Type]]="CN",Table1[[#This Row],[C/D (LC)]],"")),"")</f>
        <v/>
      </c>
      <c r="P291" t="str">
        <f>VLOOKUP(Table1[[#This Row],[Cust '#]],ClientInfo!$A:$B,2,0)</f>
        <v>Client_04</v>
      </c>
    </row>
    <row r="292" spans="1:16">
      <c r="A292" t="s">
        <v>110</v>
      </c>
      <c r="B292" t="s">
        <v>12</v>
      </c>
      <c r="C292">
        <v>140015594</v>
      </c>
      <c r="D292" s="1">
        <v>45595</v>
      </c>
      <c r="E292">
        <v>3457.98</v>
      </c>
      <c r="F292">
        <v>0</v>
      </c>
      <c r="G292">
        <v>700001979</v>
      </c>
      <c r="H292" s="1">
        <v>45604</v>
      </c>
      <c r="I292">
        <f>YEAR(Table1[[#This Row],[Posting Date]])</f>
        <v>2024</v>
      </c>
      <c r="J292">
        <f>MONTH(Table1[[#This Row],[Posting Date]])</f>
        <v>10</v>
      </c>
      <c r="K292" t="str">
        <f>IF(Table1[[#This Row],[Type]]="IN",VLOOKUP(Table1[[#This Row],[Cust '#]],ClientInfo!$A:$D,4,0),"")</f>
        <v>NET30</v>
      </c>
      <c r="L292" s="1">
        <f>IF(K292="NET30",Table1[[#This Row],[Posting Date]]+30,IF(K292="NET15",Table1[[#This Row],[Posting Date]]+15,IF(K292="COD",Table1[[#This Row],[Posting Date]],"")))</f>
        <v>45625</v>
      </c>
      <c r="M292" s="4">
        <f>IFERROR(IF(Table1[[#This Row],[Type]]="IN",Table1[[#This Row],[RC Date]]-Table1[[#This Row],[Posting Date]],""),"")</f>
        <v>9</v>
      </c>
      <c r="N292">
        <f>IFERROR(IF(Table1[[#This Row],[Balance Due (LC)]]&lt;&gt;0,$S$1-L292,0),"")</f>
        <v>0</v>
      </c>
      <c r="O292">
        <f>IFERROR(IF(Table1[[#This Row],[Type]]="IN",Table1[[#This Row],[C/D (LC)]],IF(Table1[[#This Row],[Type]]="CN",Table1[[#This Row],[C/D (LC)]],"")),"")</f>
        <v>3457.98</v>
      </c>
      <c r="P292" t="str">
        <f>VLOOKUP(Table1[[#This Row],[Cust '#]],ClientInfo!$A:$B,2,0)</f>
        <v>Client_04</v>
      </c>
    </row>
    <row r="293" spans="1:16">
      <c r="A293" t="s">
        <v>110</v>
      </c>
      <c r="B293" t="s">
        <v>10</v>
      </c>
      <c r="C293">
        <v>700001952</v>
      </c>
      <c r="D293" s="1">
        <v>45600</v>
      </c>
      <c r="E293">
        <v>-4122.5</v>
      </c>
      <c r="F293">
        <v>0</v>
      </c>
      <c r="G293">
        <v>700001952</v>
      </c>
      <c r="H293" s="1">
        <v>45600</v>
      </c>
      <c r="I293">
        <f>YEAR(Table1[[#This Row],[Posting Date]])</f>
        <v>2024</v>
      </c>
      <c r="J293">
        <f>MONTH(Table1[[#This Row],[Posting Date]])</f>
        <v>11</v>
      </c>
      <c r="K293" t="str">
        <f>IF(Table1[[#This Row],[Type]]="IN",VLOOKUP(Table1[[#This Row],[Cust '#]],ClientInfo!$A:$D,4,0),"")</f>
        <v/>
      </c>
      <c r="L293" s="1" t="str">
        <f>IF(K293="NET30",Table1[[#This Row],[Posting Date]]+30,IF(K293="NET15",Table1[[#This Row],[Posting Date]]+15,IF(K293="COD",Table1[[#This Row],[Posting Date]],"")))</f>
        <v/>
      </c>
      <c r="M293" s="4" t="str">
        <f>IFERROR(IF(Table1[[#This Row],[Type]]="IN",Table1[[#This Row],[RC Date]]-Table1[[#This Row],[Posting Date]],""),"")</f>
        <v/>
      </c>
      <c r="N293">
        <f>IFERROR(IF(Table1[[#This Row],[Balance Due (LC)]]&lt;&gt;0,$S$1-L293,0),"")</f>
        <v>0</v>
      </c>
      <c r="O293" t="str">
        <f>IFERROR(IF(Table1[[#This Row],[Type]]="IN",Table1[[#This Row],[C/D (LC)]],IF(Table1[[#This Row],[Type]]="CN",Table1[[#This Row],[C/D (LC)]],"")),"")</f>
        <v/>
      </c>
      <c r="P293" t="str">
        <f>VLOOKUP(Table1[[#This Row],[Cust '#]],ClientInfo!$A:$B,2,0)</f>
        <v>Client_04</v>
      </c>
    </row>
    <row r="294" spans="1:16">
      <c r="A294" t="s">
        <v>110</v>
      </c>
      <c r="B294" t="s">
        <v>12</v>
      </c>
      <c r="C294">
        <v>140015927</v>
      </c>
      <c r="D294" s="1">
        <v>45602</v>
      </c>
      <c r="E294">
        <v>3054.4</v>
      </c>
      <c r="F294">
        <v>0</v>
      </c>
      <c r="G294">
        <v>700002046</v>
      </c>
      <c r="H294" s="1">
        <v>45614</v>
      </c>
      <c r="I294">
        <f>YEAR(Table1[[#This Row],[Posting Date]])</f>
        <v>2024</v>
      </c>
      <c r="J294">
        <f>MONTH(Table1[[#This Row],[Posting Date]])</f>
        <v>11</v>
      </c>
      <c r="K294" t="str">
        <f>IF(Table1[[#This Row],[Type]]="IN",VLOOKUP(Table1[[#This Row],[Cust '#]],ClientInfo!$A:$D,4,0),"")</f>
        <v>NET30</v>
      </c>
      <c r="L294" s="1">
        <f>IF(K294="NET30",Table1[[#This Row],[Posting Date]]+30,IF(K294="NET15",Table1[[#This Row],[Posting Date]]+15,IF(K294="COD",Table1[[#This Row],[Posting Date]],"")))</f>
        <v>45632</v>
      </c>
      <c r="M294" s="4">
        <f>IFERROR(IF(Table1[[#This Row],[Type]]="IN",Table1[[#This Row],[RC Date]]-Table1[[#This Row],[Posting Date]],""),"")</f>
        <v>12</v>
      </c>
      <c r="N294">
        <f>IFERROR(IF(Table1[[#This Row],[Balance Due (LC)]]&lt;&gt;0,$S$1-L294,0),"")</f>
        <v>0</v>
      </c>
      <c r="O294">
        <f>IFERROR(IF(Table1[[#This Row],[Type]]="IN",Table1[[#This Row],[C/D (LC)]],IF(Table1[[#This Row],[Type]]="CN",Table1[[#This Row],[C/D (LC)]],"")),"")</f>
        <v>3054.4</v>
      </c>
      <c r="P294" t="str">
        <f>VLOOKUP(Table1[[#This Row],[Cust '#]],ClientInfo!$A:$B,2,0)</f>
        <v>Client_04</v>
      </c>
    </row>
    <row r="295" spans="1:16">
      <c r="A295" t="s">
        <v>110</v>
      </c>
      <c r="B295" t="s">
        <v>10</v>
      </c>
      <c r="C295">
        <v>700001979</v>
      </c>
      <c r="D295" s="1">
        <v>45604</v>
      </c>
      <c r="E295">
        <v>-3457.98</v>
      </c>
      <c r="F295">
        <v>0</v>
      </c>
      <c r="G295">
        <v>700001979</v>
      </c>
      <c r="H295" s="1">
        <v>45604</v>
      </c>
      <c r="I295">
        <f>YEAR(Table1[[#This Row],[Posting Date]])</f>
        <v>2024</v>
      </c>
      <c r="J295">
        <f>MONTH(Table1[[#This Row],[Posting Date]])</f>
        <v>11</v>
      </c>
      <c r="K295" t="str">
        <f>IF(Table1[[#This Row],[Type]]="IN",VLOOKUP(Table1[[#This Row],[Cust '#]],ClientInfo!$A:$D,4,0),"")</f>
        <v/>
      </c>
      <c r="L295" s="1" t="str">
        <f>IF(K295="NET30",Table1[[#This Row],[Posting Date]]+30,IF(K295="NET15",Table1[[#This Row],[Posting Date]]+15,IF(K295="COD",Table1[[#This Row],[Posting Date]],"")))</f>
        <v/>
      </c>
      <c r="M295" s="4" t="str">
        <f>IFERROR(IF(Table1[[#This Row],[Type]]="IN",Table1[[#This Row],[RC Date]]-Table1[[#This Row],[Posting Date]],""),"")</f>
        <v/>
      </c>
      <c r="N295">
        <f>IFERROR(IF(Table1[[#This Row],[Balance Due (LC)]]&lt;&gt;0,$S$1-L295,0),"")</f>
        <v>0</v>
      </c>
      <c r="O295" t="str">
        <f>IFERROR(IF(Table1[[#This Row],[Type]]="IN",Table1[[#This Row],[C/D (LC)]],IF(Table1[[#This Row],[Type]]="CN",Table1[[#This Row],[C/D (LC)]],"")),"")</f>
        <v/>
      </c>
      <c r="P295" t="str">
        <f>VLOOKUP(Table1[[#This Row],[Cust '#]],ClientInfo!$A:$B,2,0)</f>
        <v>Client_04</v>
      </c>
    </row>
    <row r="296" spans="1:16">
      <c r="A296" t="s">
        <v>110</v>
      </c>
      <c r="B296" t="s">
        <v>12</v>
      </c>
      <c r="C296">
        <v>140016303</v>
      </c>
      <c r="D296" s="1">
        <v>45609</v>
      </c>
      <c r="E296">
        <v>5076.3</v>
      </c>
      <c r="F296">
        <v>0</v>
      </c>
      <c r="G296">
        <v>700002089</v>
      </c>
      <c r="H296" s="1">
        <v>45621</v>
      </c>
      <c r="I296">
        <f>YEAR(Table1[[#This Row],[Posting Date]])</f>
        <v>2024</v>
      </c>
      <c r="J296">
        <f>MONTH(Table1[[#This Row],[Posting Date]])</f>
        <v>11</v>
      </c>
      <c r="K296" t="str">
        <f>IF(Table1[[#This Row],[Type]]="IN",VLOOKUP(Table1[[#This Row],[Cust '#]],ClientInfo!$A:$D,4,0),"")</f>
        <v>NET30</v>
      </c>
      <c r="L296" s="1">
        <f>IF(K296="NET30",Table1[[#This Row],[Posting Date]]+30,IF(K296="NET15",Table1[[#This Row],[Posting Date]]+15,IF(K296="COD",Table1[[#This Row],[Posting Date]],"")))</f>
        <v>45639</v>
      </c>
      <c r="M296" s="4">
        <f>IFERROR(IF(Table1[[#This Row],[Type]]="IN",Table1[[#This Row],[RC Date]]-Table1[[#This Row],[Posting Date]],""),"")</f>
        <v>12</v>
      </c>
      <c r="N296">
        <f>IFERROR(IF(Table1[[#This Row],[Balance Due (LC)]]&lt;&gt;0,$S$1-L296,0),"")</f>
        <v>0</v>
      </c>
      <c r="O296">
        <f>IFERROR(IF(Table1[[#This Row],[Type]]="IN",Table1[[#This Row],[C/D (LC)]],IF(Table1[[#This Row],[Type]]="CN",Table1[[#This Row],[C/D (LC)]],"")),"")</f>
        <v>5076.3</v>
      </c>
      <c r="P296" t="str">
        <f>VLOOKUP(Table1[[#This Row],[Cust '#]],ClientInfo!$A:$B,2,0)</f>
        <v>Client_04</v>
      </c>
    </row>
    <row r="297" spans="1:16">
      <c r="A297" t="s">
        <v>110</v>
      </c>
      <c r="B297" t="s">
        <v>12</v>
      </c>
      <c r="C297">
        <v>140016304</v>
      </c>
      <c r="D297" s="1">
        <v>45609</v>
      </c>
      <c r="E297">
        <v>166</v>
      </c>
      <c r="F297">
        <v>0</v>
      </c>
      <c r="G297">
        <v>700002089</v>
      </c>
      <c r="H297" s="1">
        <v>45621</v>
      </c>
      <c r="I297">
        <f>YEAR(Table1[[#This Row],[Posting Date]])</f>
        <v>2024</v>
      </c>
      <c r="J297">
        <f>MONTH(Table1[[#This Row],[Posting Date]])</f>
        <v>11</v>
      </c>
      <c r="K297" t="str">
        <f>IF(Table1[[#This Row],[Type]]="IN",VLOOKUP(Table1[[#This Row],[Cust '#]],ClientInfo!$A:$D,4,0),"")</f>
        <v>NET30</v>
      </c>
      <c r="L297" s="1">
        <f>IF(K297="NET30",Table1[[#This Row],[Posting Date]]+30,IF(K297="NET15",Table1[[#This Row],[Posting Date]]+15,IF(K297="COD",Table1[[#This Row],[Posting Date]],"")))</f>
        <v>45639</v>
      </c>
      <c r="M297" s="4">
        <f>IFERROR(IF(Table1[[#This Row],[Type]]="IN",Table1[[#This Row],[RC Date]]-Table1[[#This Row],[Posting Date]],""),"")</f>
        <v>12</v>
      </c>
      <c r="N297">
        <f>IFERROR(IF(Table1[[#This Row],[Balance Due (LC)]]&lt;&gt;0,$S$1-L297,0),"")</f>
        <v>0</v>
      </c>
      <c r="O297">
        <f>IFERROR(IF(Table1[[#This Row],[Type]]="IN",Table1[[#This Row],[C/D (LC)]],IF(Table1[[#This Row],[Type]]="CN",Table1[[#This Row],[C/D (LC)]],"")),"")</f>
        <v>166</v>
      </c>
      <c r="P297" t="str">
        <f>VLOOKUP(Table1[[#This Row],[Cust '#]],ClientInfo!$A:$B,2,0)</f>
        <v>Client_04</v>
      </c>
    </row>
    <row r="298" spans="1:16">
      <c r="A298" t="s">
        <v>110</v>
      </c>
      <c r="B298" t="s">
        <v>10</v>
      </c>
      <c r="C298">
        <v>700002046</v>
      </c>
      <c r="D298" s="1">
        <v>45614</v>
      </c>
      <c r="E298">
        <v>-3054.4</v>
      </c>
      <c r="F298">
        <v>0</v>
      </c>
      <c r="G298">
        <v>700002046</v>
      </c>
      <c r="H298" s="1">
        <v>45614</v>
      </c>
      <c r="I298">
        <f>YEAR(Table1[[#This Row],[Posting Date]])</f>
        <v>2024</v>
      </c>
      <c r="J298">
        <f>MONTH(Table1[[#This Row],[Posting Date]])</f>
        <v>11</v>
      </c>
      <c r="K298" t="str">
        <f>IF(Table1[[#This Row],[Type]]="IN",VLOOKUP(Table1[[#This Row],[Cust '#]],ClientInfo!$A:$D,4,0),"")</f>
        <v/>
      </c>
      <c r="L298" s="1" t="str">
        <f>IF(K298="NET30",Table1[[#This Row],[Posting Date]]+30,IF(K298="NET15",Table1[[#This Row],[Posting Date]]+15,IF(K298="COD",Table1[[#This Row],[Posting Date]],"")))</f>
        <v/>
      </c>
      <c r="M298" s="4" t="str">
        <f>IFERROR(IF(Table1[[#This Row],[Type]]="IN",Table1[[#This Row],[RC Date]]-Table1[[#This Row],[Posting Date]],""),"")</f>
        <v/>
      </c>
      <c r="N298">
        <f>IFERROR(IF(Table1[[#This Row],[Balance Due (LC)]]&lt;&gt;0,$S$1-L298,0),"")</f>
        <v>0</v>
      </c>
      <c r="O298" t="str">
        <f>IFERROR(IF(Table1[[#This Row],[Type]]="IN",Table1[[#This Row],[C/D (LC)]],IF(Table1[[#This Row],[Type]]="CN",Table1[[#This Row],[C/D (LC)]],"")),"")</f>
        <v/>
      </c>
      <c r="P298" t="str">
        <f>VLOOKUP(Table1[[#This Row],[Cust '#]],ClientInfo!$A:$B,2,0)</f>
        <v>Client_04</v>
      </c>
    </row>
    <row r="299" spans="1:16">
      <c r="A299" t="s">
        <v>110</v>
      </c>
      <c r="B299" t="s">
        <v>12</v>
      </c>
      <c r="C299">
        <v>140016606</v>
      </c>
      <c r="D299" s="1">
        <v>45616</v>
      </c>
      <c r="E299">
        <v>2615.4</v>
      </c>
      <c r="F299">
        <v>0</v>
      </c>
      <c r="G299">
        <v>700002156</v>
      </c>
      <c r="H299" s="1">
        <v>45628</v>
      </c>
      <c r="I299">
        <f>YEAR(Table1[[#This Row],[Posting Date]])</f>
        <v>2024</v>
      </c>
      <c r="J299">
        <f>MONTH(Table1[[#This Row],[Posting Date]])</f>
        <v>11</v>
      </c>
      <c r="K299" t="str">
        <f>IF(Table1[[#This Row],[Type]]="IN",VLOOKUP(Table1[[#This Row],[Cust '#]],ClientInfo!$A:$D,4,0),"")</f>
        <v>NET30</v>
      </c>
      <c r="L299" s="1">
        <f>IF(K299="NET30",Table1[[#This Row],[Posting Date]]+30,IF(K299="NET15",Table1[[#This Row],[Posting Date]]+15,IF(K299="COD",Table1[[#This Row],[Posting Date]],"")))</f>
        <v>45646</v>
      </c>
      <c r="M299" s="4">
        <f>IFERROR(IF(Table1[[#This Row],[Type]]="IN",Table1[[#This Row],[RC Date]]-Table1[[#This Row],[Posting Date]],""),"")</f>
        <v>12</v>
      </c>
      <c r="N299">
        <f>IFERROR(IF(Table1[[#This Row],[Balance Due (LC)]]&lt;&gt;0,$S$1-L299,0),"")</f>
        <v>0</v>
      </c>
      <c r="O299">
        <f>IFERROR(IF(Table1[[#This Row],[Type]]="IN",Table1[[#This Row],[C/D (LC)]],IF(Table1[[#This Row],[Type]]="CN",Table1[[#This Row],[C/D (LC)]],"")),"")</f>
        <v>2615.4</v>
      </c>
      <c r="P299" t="str">
        <f>VLOOKUP(Table1[[#This Row],[Cust '#]],ClientInfo!$A:$B,2,0)</f>
        <v>Client_04</v>
      </c>
    </row>
    <row r="300" spans="1:16">
      <c r="A300" t="s">
        <v>110</v>
      </c>
      <c r="B300" t="s">
        <v>10</v>
      </c>
      <c r="C300">
        <v>700002089</v>
      </c>
      <c r="D300" s="1">
        <v>45621</v>
      </c>
      <c r="E300">
        <v>-5242.3</v>
      </c>
      <c r="F300">
        <v>0</v>
      </c>
      <c r="G300">
        <v>700002089</v>
      </c>
      <c r="H300" s="1">
        <v>45621</v>
      </c>
      <c r="I300">
        <f>YEAR(Table1[[#This Row],[Posting Date]])</f>
        <v>2024</v>
      </c>
      <c r="J300">
        <f>MONTH(Table1[[#This Row],[Posting Date]])</f>
        <v>11</v>
      </c>
      <c r="K300" t="str">
        <f>IF(Table1[[#This Row],[Type]]="IN",VLOOKUP(Table1[[#This Row],[Cust '#]],ClientInfo!$A:$D,4,0),"")</f>
        <v/>
      </c>
      <c r="L300" s="1" t="str">
        <f>IF(K300="NET30",Table1[[#This Row],[Posting Date]]+30,IF(K300="NET15",Table1[[#This Row],[Posting Date]]+15,IF(K300="COD",Table1[[#This Row],[Posting Date]],"")))</f>
        <v/>
      </c>
      <c r="M300" s="4" t="str">
        <f>IFERROR(IF(Table1[[#This Row],[Type]]="IN",Table1[[#This Row],[RC Date]]-Table1[[#This Row],[Posting Date]],""),"")</f>
        <v/>
      </c>
      <c r="N300">
        <f>IFERROR(IF(Table1[[#This Row],[Balance Due (LC)]]&lt;&gt;0,$S$1-L300,0),"")</f>
        <v>0</v>
      </c>
      <c r="O300" t="str">
        <f>IFERROR(IF(Table1[[#This Row],[Type]]="IN",Table1[[#This Row],[C/D (LC)]],IF(Table1[[#This Row],[Type]]="CN",Table1[[#This Row],[C/D (LC)]],"")),"")</f>
        <v/>
      </c>
      <c r="P300" t="str">
        <f>VLOOKUP(Table1[[#This Row],[Cust '#]],ClientInfo!$A:$B,2,0)</f>
        <v>Client_04</v>
      </c>
    </row>
    <row r="301" spans="1:16">
      <c r="A301" t="s">
        <v>110</v>
      </c>
      <c r="B301" t="s">
        <v>12</v>
      </c>
      <c r="C301">
        <v>140016967</v>
      </c>
      <c r="D301" s="1">
        <v>45623</v>
      </c>
      <c r="E301">
        <v>5849.38</v>
      </c>
      <c r="F301">
        <v>0</v>
      </c>
      <c r="G301">
        <v>700002214</v>
      </c>
      <c r="H301" s="1">
        <v>45635</v>
      </c>
      <c r="I301">
        <f>YEAR(Table1[[#This Row],[Posting Date]])</f>
        <v>2024</v>
      </c>
      <c r="J301">
        <f>MONTH(Table1[[#This Row],[Posting Date]])</f>
        <v>11</v>
      </c>
      <c r="K301" t="str">
        <f>IF(Table1[[#This Row],[Type]]="IN",VLOOKUP(Table1[[#This Row],[Cust '#]],ClientInfo!$A:$D,4,0),"")</f>
        <v>NET30</v>
      </c>
      <c r="L301" s="1">
        <f>IF(K301="NET30",Table1[[#This Row],[Posting Date]]+30,IF(K301="NET15",Table1[[#This Row],[Posting Date]]+15,IF(K301="COD",Table1[[#This Row],[Posting Date]],"")))</f>
        <v>45653</v>
      </c>
      <c r="M301" s="4">
        <f>IFERROR(IF(Table1[[#This Row],[Type]]="IN",Table1[[#This Row],[RC Date]]-Table1[[#This Row],[Posting Date]],""),"")</f>
        <v>12</v>
      </c>
      <c r="N301">
        <f>IFERROR(IF(Table1[[#This Row],[Balance Due (LC)]]&lt;&gt;0,$S$1-L301,0),"")</f>
        <v>0</v>
      </c>
      <c r="O301">
        <f>IFERROR(IF(Table1[[#This Row],[Type]]="IN",Table1[[#This Row],[C/D (LC)]],IF(Table1[[#This Row],[Type]]="CN",Table1[[#This Row],[C/D (LC)]],"")),"")</f>
        <v>5849.38</v>
      </c>
      <c r="P301" t="str">
        <f>VLOOKUP(Table1[[#This Row],[Cust '#]],ClientInfo!$A:$B,2,0)</f>
        <v>Client_04</v>
      </c>
    </row>
    <row r="302" spans="1:16">
      <c r="A302" t="s">
        <v>110</v>
      </c>
      <c r="B302" t="s">
        <v>13</v>
      </c>
      <c r="C302">
        <v>150000738</v>
      </c>
      <c r="D302" s="1">
        <v>45626</v>
      </c>
      <c r="E302">
        <v>-249.3</v>
      </c>
      <c r="F302">
        <v>0</v>
      </c>
      <c r="G302">
        <v>700003471</v>
      </c>
      <c r="H302" s="1">
        <v>45793</v>
      </c>
      <c r="I302">
        <f>YEAR(Table1[[#This Row],[Posting Date]])</f>
        <v>2024</v>
      </c>
      <c r="J302">
        <f>MONTH(Table1[[#This Row],[Posting Date]])</f>
        <v>11</v>
      </c>
      <c r="K302" t="str">
        <f>IF(Table1[[#This Row],[Type]]="IN",VLOOKUP(Table1[[#This Row],[Cust '#]],ClientInfo!$A:$D,4,0),"")</f>
        <v/>
      </c>
      <c r="L302" s="1" t="str">
        <f>IF(K302="NET30",Table1[[#This Row],[Posting Date]]+30,IF(K302="NET15",Table1[[#This Row],[Posting Date]]+15,IF(K302="COD",Table1[[#This Row],[Posting Date]],"")))</f>
        <v/>
      </c>
      <c r="M302" s="4" t="str">
        <f>IFERROR(IF(Table1[[#This Row],[Type]]="IN",Table1[[#This Row],[RC Date]]-Table1[[#This Row],[Posting Date]],""),"")</f>
        <v/>
      </c>
      <c r="N302">
        <f>IFERROR(IF(Table1[[#This Row],[Balance Due (LC)]]&lt;&gt;0,$S$1-L302,0),"")</f>
        <v>0</v>
      </c>
      <c r="O302">
        <f>IFERROR(IF(Table1[[#This Row],[Type]]="IN",Table1[[#This Row],[C/D (LC)]],IF(Table1[[#This Row],[Type]]="CN",Table1[[#This Row],[C/D (LC)]],"")),"")</f>
        <v>-249.3</v>
      </c>
      <c r="P302" t="str">
        <f>VLOOKUP(Table1[[#This Row],[Cust '#]],ClientInfo!$A:$B,2,0)</f>
        <v>Client_04</v>
      </c>
    </row>
    <row r="303" spans="1:16">
      <c r="A303" t="s">
        <v>110</v>
      </c>
      <c r="B303" t="s">
        <v>10</v>
      </c>
      <c r="C303">
        <v>700002156</v>
      </c>
      <c r="D303" s="1">
        <v>45628</v>
      </c>
      <c r="E303">
        <v>-2615.4</v>
      </c>
      <c r="F303">
        <v>0</v>
      </c>
      <c r="G303">
        <v>700002156</v>
      </c>
      <c r="H303" s="1">
        <v>45628</v>
      </c>
      <c r="I303">
        <f>YEAR(Table1[[#This Row],[Posting Date]])</f>
        <v>2024</v>
      </c>
      <c r="J303">
        <f>MONTH(Table1[[#This Row],[Posting Date]])</f>
        <v>12</v>
      </c>
      <c r="K303" t="str">
        <f>IF(Table1[[#This Row],[Type]]="IN",VLOOKUP(Table1[[#This Row],[Cust '#]],ClientInfo!$A:$D,4,0),"")</f>
        <v/>
      </c>
      <c r="L303" s="1" t="str">
        <f>IF(K303="NET30",Table1[[#This Row],[Posting Date]]+30,IF(K303="NET15",Table1[[#This Row],[Posting Date]]+15,IF(K303="COD",Table1[[#This Row],[Posting Date]],"")))</f>
        <v/>
      </c>
      <c r="M303" s="4" t="str">
        <f>IFERROR(IF(Table1[[#This Row],[Type]]="IN",Table1[[#This Row],[RC Date]]-Table1[[#This Row],[Posting Date]],""),"")</f>
        <v/>
      </c>
      <c r="N303">
        <f>IFERROR(IF(Table1[[#This Row],[Balance Due (LC)]]&lt;&gt;0,$S$1-L303,0),"")</f>
        <v>0</v>
      </c>
      <c r="O303" t="str">
        <f>IFERROR(IF(Table1[[#This Row],[Type]]="IN",Table1[[#This Row],[C/D (LC)]],IF(Table1[[#This Row],[Type]]="CN",Table1[[#This Row],[C/D (LC)]],"")),"")</f>
        <v/>
      </c>
      <c r="P303" t="str">
        <f>VLOOKUP(Table1[[#This Row],[Cust '#]],ClientInfo!$A:$B,2,0)</f>
        <v>Client_04</v>
      </c>
    </row>
    <row r="304" spans="1:16">
      <c r="A304" t="s">
        <v>110</v>
      </c>
      <c r="B304" t="s">
        <v>12</v>
      </c>
      <c r="C304">
        <v>140017268</v>
      </c>
      <c r="D304" s="1">
        <v>45630</v>
      </c>
      <c r="E304">
        <v>260</v>
      </c>
      <c r="F304">
        <v>0</v>
      </c>
      <c r="G304">
        <v>700002291</v>
      </c>
      <c r="H304" s="1">
        <v>45643</v>
      </c>
      <c r="I304">
        <f>YEAR(Table1[[#This Row],[Posting Date]])</f>
        <v>2024</v>
      </c>
      <c r="J304">
        <f>MONTH(Table1[[#This Row],[Posting Date]])</f>
        <v>12</v>
      </c>
      <c r="K304" t="str">
        <f>IF(Table1[[#This Row],[Type]]="IN",VLOOKUP(Table1[[#This Row],[Cust '#]],ClientInfo!$A:$D,4,0),"")</f>
        <v>NET30</v>
      </c>
      <c r="L304" s="1">
        <f>IF(K304="NET30",Table1[[#This Row],[Posting Date]]+30,IF(K304="NET15",Table1[[#This Row],[Posting Date]]+15,IF(K304="COD",Table1[[#This Row],[Posting Date]],"")))</f>
        <v>45660</v>
      </c>
      <c r="M304" s="4">
        <f>IFERROR(IF(Table1[[#This Row],[Type]]="IN",Table1[[#This Row],[RC Date]]-Table1[[#This Row],[Posting Date]],""),"")</f>
        <v>13</v>
      </c>
      <c r="N304">
        <f>IFERROR(IF(Table1[[#This Row],[Balance Due (LC)]]&lt;&gt;0,$S$1-L304,0),"")</f>
        <v>0</v>
      </c>
      <c r="O304">
        <f>IFERROR(IF(Table1[[#This Row],[Type]]="IN",Table1[[#This Row],[C/D (LC)]],IF(Table1[[#This Row],[Type]]="CN",Table1[[#This Row],[C/D (LC)]],"")),"")</f>
        <v>260</v>
      </c>
      <c r="P304" t="str">
        <f>VLOOKUP(Table1[[#This Row],[Cust '#]],ClientInfo!$A:$B,2,0)</f>
        <v>Client_04</v>
      </c>
    </row>
    <row r="305" spans="1:16">
      <c r="A305" t="s">
        <v>110</v>
      </c>
      <c r="B305" t="s">
        <v>12</v>
      </c>
      <c r="C305">
        <v>140017269</v>
      </c>
      <c r="D305" s="1">
        <v>45630</v>
      </c>
      <c r="E305">
        <v>5103.2</v>
      </c>
      <c r="F305">
        <v>0</v>
      </c>
      <c r="G305">
        <v>700002291</v>
      </c>
      <c r="H305" s="1">
        <v>45643</v>
      </c>
      <c r="I305">
        <f>YEAR(Table1[[#This Row],[Posting Date]])</f>
        <v>2024</v>
      </c>
      <c r="J305">
        <f>MONTH(Table1[[#This Row],[Posting Date]])</f>
        <v>12</v>
      </c>
      <c r="K305" t="str">
        <f>IF(Table1[[#This Row],[Type]]="IN",VLOOKUP(Table1[[#This Row],[Cust '#]],ClientInfo!$A:$D,4,0),"")</f>
        <v>NET30</v>
      </c>
      <c r="L305" s="1">
        <f>IF(K305="NET30",Table1[[#This Row],[Posting Date]]+30,IF(K305="NET15",Table1[[#This Row],[Posting Date]]+15,IF(K305="COD",Table1[[#This Row],[Posting Date]],"")))</f>
        <v>45660</v>
      </c>
      <c r="M305" s="4">
        <f>IFERROR(IF(Table1[[#This Row],[Type]]="IN",Table1[[#This Row],[RC Date]]-Table1[[#This Row],[Posting Date]],""),"")</f>
        <v>13</v>
      </c>
      <c r="N305">
        <f>IFERROR(IF(Table1[[#This Row],[Balance Due (LC)]]&lt;&gt;0,$S$1-L305,0),"")</f>
        <v>0</v>
      </c>
      <c r="O305">
        <f>IFERROR(IF(Table1[[#This Row],[Type]]="IN",Table1[[#This Row],[C/D (LC)]],IF(Table1[[#This Row],[Type]]="CN",Table1[[#This Row],[C/D (LC)]],"")),"")</f>
        <v>5103.2</v>
      </c>
      <c r="P305" t="str">
        <f>VLOOKUP(Table1[[#This Row],[Cust '#]],ClientInfo!$A:$B,2,0)</f>
        <v>Client_04</v>
      </c>
    </row>
    <row r="306" spans="1:16">
      <c r="A306" t="s">
        <v>110</v>
      </c>
      <c r="B306" t="s">
        <v>10</v>
      </c>
      <c r="C306">
        <v>700002214</v>
      </c>
      <c r="D306" s="1">
        <v>45635</v>
      </c>
      <c r="E306">
        <v>-5849.38</v>
      </c>
      <c r="F306">
        <v>0</v>
      </c>
      <c r="G306">
        <v>700002214</v>
      </c>
      <c r="H306" s="1">
        <v>45635</v>
      </c>
      <c r="I306">
        <f>YEAR(Table1[[#This Row],[Posting Date]])</f>
        <v>2024</v>
      </c>
      <c r="J306">
        <f>MONTH(Table1[[#This Row],[Posting Date]])</f>
        <v>12</v>
      </c>
      <c r="K306" t="str">
        <f>IF(Table1[[#This Row],[Type]]="IN",VLOOKUP(Table1[[#This Row],[Cust '#]],ClientInfo!$A:$D,4,0),"")</f>
        <v/>
      </c>
      <c r="L306" s="1" t="str">
        <f>IF(K306="NET30",Table1[[#This Row],[Posting Date]]+30,IF(K306="NET15",Table1[[#This Row],[Posting Date]]+15,IF(K306="COD",Table1[[#This Row],[Posting Date]],"")))</f>
        <v/>
      </c>
      <c r="M306" s="4" t="str">
        <f>IFERROR(IF(Table1[[#This Row],[Type]]="IN",Table1[[#This Row],[RC Date]]-Table1[[#This Row],[Posting Date]],""),"")</f>
        <v/>
      </c>
      <c r="N306">
        <f>IFERROR(IF(Table1[[#This Row],[Balance Due (LC)]]&lt;&gt;0,$S$1-L306,0),"")</f>
        <v>0</v>
      </c>
      <c r="O306" t="str">
        <f>IFERROR(IF(Table1[[#This Row],[Type]]="IN",Table1[[#This Row],[C/D (LC)]],IF(Table1[[#This Row],[Type]]="CN",Table1[[#This Row],[C/D (LC)]],"")),"")</f>
        <v/>
      </c>
      <c r="P306" t="str">
        <f>VLOOKUP(Table1[[#This Row],[Cust '#]],ClientInfo!$A:$B,2,0)</f>
        <v>Client_04</v>
      </c>
    </row>
    <row r="307" spans="1:16">
      <c r="A307" t="s">
        <v>110</v>
      </c>
      <c r="B307" t="s">
        <v>12</v>
      </c>
      <c r="C307">
        <v>140017596</v>
      </c>
      <c r="D307" s="1">
        <v>45637</v>
      </c>
      <c r="E307">
        <v>5596.78</v>
      </c>
      <c r="F307">
        <v>0</v>
      </c>
      <c r="G307">
        <v>700002337</v>
      </c>
      <c r="H307" s="1">
        <v>45649</v>
      </c>
      <c r="I307">
        <f>YEAR(Table1[[#This Row],[Posting Date]])</f>
        <v>2024</v>
      </c>
      <c r="J307">
        <f>MONTH(Table1[[#This Row],[Posting Date]])</f>
        <v>12</v>
      </c>
      <c r="K307" t="str">
        <f>IF(Table1[[#This Row],[Type]]="IN",VLOOKUP(Table1[[#This Row],[Cust '#]],ClientInfo!$A:$D,4,0),"")</f>
        <v>NET30</v>
      </c>
      <c r="L307" s="1">
        <f>IF(K307="NET30",Table1[[#This Row],[Posting Date]]+30,IF(K307="NET15",Table1[[#This Row],[Posting Date]]+15,IF(K307="COD",Table1[[#This Row],[Posting Date]],"")))</f>
        <v>45667</v>
      </c>
      <c r="M307" s="4">
        <f>IFERROR(IF(Table1[[#This Row],[Type]]="IN",Table1[[#This Row],[RC Date]]-Table1[[#This Row],[Posting Date]],""),"")</f>
        <v>12</v>
      </c>
      <c r="N307">
        <f>IFERROR(IF(Table1[[#This Row],[Balance Due (LC)]]&lt;&gt;0,$S$1-L307,0),"")</f>
        <v>0</v>
      </c>
      <c r="O307">
        <f>IFERROR(IF(Table1[[#This Row],[Type]]="IN",Table1[[#This Row],[C/D (LC)]],IF(Table1[[#This Row],[Type]]="CN",Table1[[#This Row],[C/D (LC)]],"")),"")</f>
        <v>5596.78</v>
      </c>
      <c r="P307" t="str">
        <f>VLOOKUP(Table1[[#This Row],[Cust '#]],ClientInfo!$A:$B,2,0)</f>
        <v>Client_04</v>
      </c>
    </row>
    <row r="308" spans="1:16">
      <c r="A308" t="s">
        <v>110</v>
      </c>
      <c r="B308" t="s">
        <v>10</v>
      </c>
      <c r="C308">
        <v>700002291</v>
      </c>
      <c r="D308" s="1">
        <v>45643</v>
      </c>
      <c r="E308">
        <v>-5363.2</v>
      </c>
      <c r="F308">
        <v>0</v>
      </c>
      <c r="G308">
        <v>700002291</v>
      </c>
      <c r="H308" s="1">
        <v>45643</v>
      </c>
      <c r="I308">
        <f>YEAR(Table1[[#This Row],[Posting Date]])</f>
        <v>2024</v>
      </c>
      <c r="J308">
        <f>MONTH(Table1[[#This Row],[Posting Date]])</f>
        <v>12</v>
      </c>
      <c r="K308" t="str">
        <f>IF(Table1[[#This Row],[Type]]="IN",VLOOKUP(Table1[[#This Row],[Cust '#]],ClientInfo!$A:$D,4,0),"")</f>
        <v/>
      </c>
      <c r="L308" s="1" t="str">
        <f>IF(K308="NET30",Table1[[#This Row],[Posting Date]]+30,IF(K308="NET15",Table1[[#This Row],[Posting Date]]+15,IF(K308="COD",Table1[[#This Row],[Posting Date]],"")))</f>
        <v/>
      </c>
      <c r="M308" s="4" t="str">
        <f>IFERROR(IF(Table1[[#This Row],[Type]]="IN",Table1[[#This Row],[RC Date]]-Table1[[#This Row],[Posting Date]],""),"")</f>
        <v/>
      </c>
      <c r="N308">
        <f>IFERROR(IF(Table1[[#This Row],[Balance Due (LC)]]&lt;&gt;0,$S$1-L308,0),"")</f>
        <v>0</v>
      </c>
      <c r="O308" t="str">
        <f>IFERROR(IF(Table1[[#This Row],[Type]]="IN",Table1[[#This Row],[C/D (LC)]],IF(Table1[[#This Row],[Type]]="CN",Table1[[#This Row],[C/D (LC)]],"")),"")</f>
        <v/>
      </c>
      <c r="P308" t="str">
        <f>VLOOKUP(Table1[[#This Row],[Cust '#]],ClientInfo!$A:$B,2,0)</f>
        <v>Client_04</v>
      </c>
    </row>
    <row r="309" spans="1:16">
      <c r="A309" t="s">
        <v>110</v>
      </c>
      <c r="B309" t="s">
        <v>12</v>
      </c>
      <c r="C309">
        <v>140017919</v>
      </c>
      <c r="D309" s="1">
        <v>45644</v>
      </c>
      <c r="E309">
        <v>7165.9</v>
      </c>
      <c r="F309">
        <v>0</v>
      </c>
      <c r="G309">
        <v>700002378</v>
      </c>
      <c r="H309" s="1">
        <v>45653</v>
      </c>
      <c r="I309">
        <f>YEAR(Table1[[#This Row],[Posting Date]])</f>
        <v>2024</v>
      </c>
      <c r="J309">
        <f>MONTH(Table1[[#This Row],[Posting Date]])</f>
        <v>12</v>
      </c>
      <c r="K309" t="str">
        <f>IF(Table1[[#This Row],[Type]]="IN",VLOOKUP(Table1[[#This Row],[Cust '#]],ClientInfo!$A:$D,4,0),"")</f>
        <v>NET30</v>
      </c>
      <c r="L309" s="1">
        <f>IF(K309="NET30",Table1[[#This Row],[Posting Date]]+30,IF(K309="NET15",Table1[[#This Row],[Posting Date]]+15,IF(K309="COD",Table1[[#This Row],[Posting Date]],"")))</f>
        <v>45674</v>
      </c>
      <c r="M309" s="4">
        <f>IFERROR(IF(Table1[[#This Row],[Type]]="IN",Table1[[#This Row],[RC Date]]-Table1[[#This Row],[Posting Date]],""),"")</f>
        <v>9</v>
      </c>
      <c r="N309">
        <f>IFERROR(IF(Table1[[#This Row],[Balance Due (LC)]]&lt;&gt;0,$S$1-L309,0),"")</f>
        <v>0</v>
      </c>
      <c r="O309">
        <f>IFERROR(IF(Table1[[#This Row],[Type]]="IN",Table1[[#This Row],[C/D (LC)]],IF(Table1[[#This Row],[Type]]="CN",Table1[[#This Row],[C/D (LC)]],"")),"")</f>
        <v>7165.9</v>
      </c>
      <c r="P309" t="str">
        <f>VLOOKUP(Table1[[#This Row],[Cust '#]],ClientInfo!$A:$B,2,0)</f>
        <v>Client_04</v>
      </c>
    </row>
    <row r="310" spans="1:16">
      <c r="A310" t="s">
        <v>110</v>
      </c>
      <c r="B310" t="s">
        <v>10</v>
      </c>
      <c r="C310">
        <v>700002337</v>
      </c>
      <c r="D310" s="1">
        <v>45649</v>
      </c>
      <c r="E310">
        <v>-5596.78</v>
      </c>
      <c r="F310">
        <v>0</v>
      </c>
      <c r="G310">
        <v>700002337</v>
      </c>
      <c r="H310" s="1">
        <v>45649</v>
      </c>
      <c r="I310">
        <f>YEAR(Table1[[#This Row],[Posting Date]])</f>
        <v>2024</v>
      </c>
      <c r="J310">
        <f>MONTH(Table1[[#This Row],[Posting Date]])</f>
        <v>12</v>
      </c>
      <c r="K310" t="str">
        <f>IF(Table1[[#This Row],[Type]]="IN",VLOOKUP(Table1[[#This Row],[Cust '#]],ClientInfo!$A:$D,4,0),"")</f>
        <v/>
      </c>
      <c r="L310" s="1" t="str">
        <f>IF(K310="NET30",Table1[[#This Row],[Posting Date]]+30,IF(K310="NET15",Table1[[#This Row],[Posting Date]]+15,IF(K310="COD",Table1[[#This Row],[Posting Date]],"")))</f>
        <v/>
      </c>
      <c r="M310" s="4" t="str">
        <f>IFERROR(IF(Table1[[#This Row],[Type]]="IN",Table1[[#This Row],[RC Date]]-Table1[[#This Row],[Posting Date]],""),"")</f>
        <v/>
      </c>
      <c r="N310">
        <f>IFERROR(IF(Table1[[#This Row],[Balance Due (LC)]]&lt;&gt;0,$S$1-L310,0),"")</f>
        <v>0</v>
      </c>
      <c r="O310" t="str">
        <f>IFERROR(IF(Table1[[#This Row],[Type]]="IN",Table1[[#This Row],[C/D (LC)]],IF(Table1[[#This Row],[Type]]="CN",Table1[[#This Row],[C/D (LC)]],"")),"")</f>
        <v/>
      </c>
      <c r="P310" t="str">
        <f>VLOOKUP(Table1[[#This Row],[Cust '#]],ClientInfo!$A:$B,2,0)</f>
        <v>Client_04</v>
      </c>
    </row>
    <row r="311" spans="1:16">
      <c r="A311" t="s">
        <v>110</v>
      </c>
      <c r="B311" t="s">
        <v>10</v>
      </c>
      <c r="C311">
        <v>700002378</v>
      </c>
      <c r="D311" s="1">
        <v>45653</v>
      </c>
      <c r="E311">
        <v>-7165.9</v>
      </c>
      <c r="F311">
        <v>0</v>
      </c>
      <c r="G311">
        <v>700002378</v>
      </c>
      <c r="H311" s="1">
        <v>45653</v>
      </c>
      <c r="I311">
        <f>YEAR(Table1[[#This Row],[Posting Date]])</f>
        <v>2024</v>
      </c>
      <c r="J311">
        <f>MONTH(Table1[[#This Row],[Posting Date]])</f>
        <v>12</v>
      </c>
      <c r="K311" t="str">
        <f>IF(Table1[[#This Row],[Type]]="IN",VLOOKUP(Table1[[#This Row],[Cust '#]],ClientInfo!$A:$D,4,0),"")</f>
        <v/>
      </c>
      <c r="L311" s="1" t="str">
        <f>IF(K311="NET30",Table1[[#This Row],[Posting Date]]+30,IF(K311="NET15",Table1[[#This Row],[Posting Date]]+15,IF(K311="COD",Table1[[#This Row],[Posting Date]],"")))</f>
        <v/>
      </c>
      <c r="M311" s="4" t="str">
        <f>IFERROR(IF(Table1[[#This Row],[Type]]="IN",Table1[[#This Row],[RC Date]]-Table1[[#This Row],[Posting Date]],""),"")</f>
        <v/>
      </c>
      <c r="N311">
        <f>IFERROR(IF(Table1[[#This Row],[Balance Due (LC)]]&lt;&gt;0,$S$1-L311,0),"")</f>
        <v>0</v>
      </c>
      <c r="O311" t="str">
        <f>IFERROR(IF(Table1[[#This Row],[Type]]="IN",Table1[[#This Row],[C/D (LC)]],IF(Table1[[#This Row],[Type]]="CN",Table1[[#This Row],[C/D (LC)]],"")),"")</f>
        <v/>
      </c>
      <c r="P311" t="str">
        <f>VLOOKUP(Table1[[#This Row],[Cust '#]],ClientInfo!$A:$B,2,0)</f>
        <v>Client_04</v>
      </c>
    </row>
    <row r="312" spans="1:16">
      <c r="A312" t="s">
        <v>110</v>
      </c>
      <c r="B312" t="s">
        <v>13</v>
      </c>
      <c r="C312">
        <v>150000798</v>
      </c>
      <c r="D312" s="1">
        <v>45657</v>
      </c>
      <c r="E312">
        <v>-60</v>
      </c>
      <c r="F312">
        <v>-56.9</v>
      </c>
      <c r="G312">
        <v>700003471</v>
      </c>
      <c r="H312" s="1">
        <v>45793</v>
      </c>
      <c r="I312">
        <f>YEAR(Table1[[#This Row],[Posting Date]])</f>
        <v>2024</v>
      </c>
      <c r="J312">
        <f>MONTH(Table1[[#This Row],[Posting Date]])</f>
        <v>12</v>
      </c>
      <c r="K312" t="str">
        <f>IF(Table1[[#This Row],[Type]]="IN",VLOOKUP(Table1[[#This Row],[Cust '#]],ClientInfo!$A:$D,4,0),"")</f>
        <v/>
      </c>
      <c r="L312" s="1" t="str">
        <f>IF(K312="NET30",Table1[[#This Row],[Posting Date]]+30,IF(K312="NET15",Table1[[#This Row],[Posting Date]]+15,IF(K312="COD",Table1[[#This Row],[Posting Date]],"")))</f>
        <v/>
      </c>
      <c r="M312" s="4" t="str">
        <f>IFERROR(IF(Table1[[#This Row],[Type]]="IN",Table1[[#This Row],[RC Date]]-Table1[[#This Row],[Posting Date]],""),"")</f>
        <v/>
      </c>
      <c r="N312" t="str">
        <f>IFERROR(IF(Table1[[#This Row],[Balance Due (LC)]]&lt;&gt;0,$S$1-L312,0),"")</f>
        <v/>
      </c>
      <c r="O312">
        <f>IFERROR(IF(Table1[[#This Row],[Type]]="IN",Table1[[#This Row],[C/D (LC)]],IF(Table1[[#This Row],[Type]]="CN",Table1[[#This Row],[C/D (LC)]],"")),"")</f>
        <v>-60</v>
      </c>
      <c r="P312" t="str">
        <f>VLOOKUP(Table1[[#This Row],[Cust '#]],ClientInfo!$A:$B,2,0)</f>
        <v>Client_04</v>
      </c>
    </row>
    <row r="313" spans="1:16">
      <c r="A313" t="s">
        <v>110</v>
      </c>
      <c r="B313" t="s">
        <v>12</v>
      </c>
      <c r="C313">
        <v>140018566</v>
      </c>
      <c r="D313" s="1">
        <v>45657</v>
      </c>
      <c r="E313">
        <v>6977</v>
      </c>
      <c r="F313">
        <v>0</v>
      </c>
      <c r="G313">
        <v>700002504</v>
      </c>
      <c r="H313" s="1">
        <v>45672</v>
      </c>
      <c r="I313">
        <f>YEAR(Table1[[#This Row],[Posting Date]])</f>
        <v>2024</v>
      </c>
      <c r="J313">
        <f>MONTH(Table1[[#This Row],[Posting Date]])</f>
        <v>12</v>
      </c>
      <c r="K313" t="str">
        <f>IF(Table1[[#This Row],[Type]]="IN",VLOOKUP(Table1[[#This Row],[Cust '#]],ClientInfo!$A:$D,4,0),"")</f>
        <v>NET30</v>
      </c>
      <c r="L313" s="1">
        <f>IF(K313="NET30",Table1[[#This Row],[Posting Date]]+30,IF(K313="NET15",Table1[[#This Row],[Posting Date]]+15,IF(K313="COD",Table1[[#This Row],[Posting Date]],"")))</f>
        <v>45687</v>
      </c>
      <c r="M313" s="4">
        <f>IFERROR(IF(Table1[[#This Row],[Type]]="IN",Table1[[#This Row],[RC Date]]-Table1[[#This Row],[Posting Date]],""),"")</f>
        <v>15</v>
      </c>
      <c r="N313">
        <f>IFERROR(IF(Table1[[#This Row],[Balance Due (LC)]]&lt;&gt;0,$S$1-L313,0),"")</f>
        <v>0</v>
      </c>
      <c r="O313">
        <f>IFERROR(IF(Table1[[#This Row],[Type]]="IN",Table1[[#This Row],[C/D (LC)]],IF(Table1[[#This Row],[Type]]="CN",Table1[[#This Row],[C/D (LC)]],"")),"")</f>
        <v>6977</v>
      </c>
      <c r="P313" t="str">
        <f>VLOOKUP(Table1[[#This Row],[Cust '#]],ClientInfo!$A:$B,2,0)</f>
        <v>Client_04</v>
      </c>
    </row>
    <row r="314" spans="1:16">
      <c r="A314" t="s">
        <v>110</v>
      </c>
      <c r="B314" t="s">
        <v>12</v>
      </c>
      <c r="C314">
        <v>140018888</v>
      </c>
      <c r="D314" s="1">
        <v>45665</v>
      </c>
      <c r="E314">
        <v>4653.6000000000004</v>
      </c>
      <c r="F314">
        <v>0</v>
      </c>
      <c r="G314">
        <v>700002543</v>
      </c>
      <c r="H314" s="1">
        <v>45674</v>
      </c>
      <c r="I314">
        <f>YEAR(Table1[[#This Row],[Posting Date]])</f>
        <v>2025</v>
      </c>
      <c r="J314">
        <f>MONTH(Table1[[#This Row],[Posting Date]])</f>
        <v>1</v>
      </c>
      <c r="K314" t="str">
        <f>IF(Table1[[#This Row],[Type]]="IN",VLOOKUP(Table1[[#This Row],[Cust '#]],ClientInfo!$A:$D,4,0),"")</f>
        <v>NET30</v>
      </c>
      <c r="L314" s="1">
        <f>IF(K314="NET30",Table1[[#This Row],[Posting Date]]+30,IF(K314="NET15",Table1[[#This Row],[Posting Date]]+15,IF(K314="COD",Table1[[#This Row],[Posting Date]],"")))</f>
        <v>45695</v>
      </c>
      <c r="M314" s="4">
        <f>IFERROR(IF(Table1[[#This Row],[Type]]="IN",Table1[[#This Row],[RC Date]]-Table1[[#This Row],[Posting Date]],""),"")</f>
        <v>9</v>
      </c>
      <c r="N314">
        <f>IFERROR(IF(Table1[[#This Row],[Balance Due (LC)]]&lt;&gt;0,$S$1-L314,0),"")</f>
        <v>0</v>
      </c>
      <c r="O314">
        <f>IFERROR(IF(Table1[[#This Row],[Type]]="IN",Table1[[#This Row],[C/D (LC)]],IF(Table1[[#This Row],[Type]]="CN",Table1[[#This Row],[C/D (LC)]],"")),"")</f>
        <v>4653.6000000000004</v>
      </c>
      <c r="P314" t="str">
        <f>VLOOKUP(Table1[[#This Row],[Cust '#]],ClientInfo!$A:$B,2,0)</f>
        <v>Client_04</v>
      </c>
    </row>
    <row r="315" spans="1:16">
      <c r="A315" t="s">
        <v>110</v>
      </c>
      <c r="B315" t="s">
        <v>12</v>
      </c>
      <c r="C315">
        <v>140019207</v>
      </c>
      <c r="D315" s="1">
        <v>45672</v>
      </c>
      <c r="E315">
        <v>5272</v>
      </c>
      <c r="F315">
        <v>0</v>
      </c>
      <c r="G315">
        <v>700002590</v>
      </c>
      <c r="H315" s="1">
        <v>45684</v>
      </c>
      <c r="I315">
        <f>YEAR(Table1[[#This Row],[Posting Date]])</f>
        <v>2025</v>
      </c>
      <c r="J315">
        <f>MONTH(Table1[[#This Row],[Posting Date]])</f>
        <v>1</v>
      </c>
      <c r="K315" t="str">
        <f>IF(Table1[[#This Row],[Type]]="IN",VLOOKUP(Table1[[#This Row],[Cust '#]],ClientInfo!$A:$D,4,0),"")</f>
        <v>NET30</v>
      </c>
      <c r="L315" s="1">
        <f>IF(K315="NET30",Table1[[#This Row],[Posting Date]]+30,IF(K315="NET15",Table1[[#This Row],[Posting Date]]+15,IF(K315="COD",Table1[[#This Row],[Posting Date]],"")))</f>
        <v>45702</v>
      </c>
      <c r="M315" s="4">
        <f>IFERROR(IF(Table1[[#This Row],[Type]]="IN",Table1[[#This Row],[RC Date]]-Table1[[#This Row],[Posting Date]],""),"")</f>
        <v>12</v>
      </c>
      <c r="N315">
        <f>IFERROR(IF(Table1[[#This Row],[Balance Due (LC)]]&lt;&gt;0,$S$1-L315,0),"")</f>
        <v>0</v>
      </c>
      <c r="O315">
        <f>IFERROR(IF(Table1[[#This Row],[Type]]="IN",Table1[[#This Row],[C/D (LC)]],IF(Table1[[#This Row],[Type]]="CN",Table1[[#This Row],[C/D (LC)]],"")),"")</f>
        <v>5272</v>
      </c>
      <c r="P315" t="str">
        <f>VLOOKUP(Table1[[#This Row],[Cust '#]],ClientInfo!$A:$B,2,0)</f>
        <v>Client_04</v>
      </c>
    </row>
    <row r="316" spans="1:16">
      <c r="A316" t="s">
        <v>110</v>
      </c>
      <c r="B316" t="s">
        <v>10</v>
      </c>
      <c r="C316">
        <v>700002504</v>
      </c>
      <c r="D316" s="1">
        <v>45672</v>
      </c>
      <c r="E316">
        <v>-6977</v>
      </c>
      <c r="F316">
        <v>0</v>
      </c>
      <c r="G316">
        <v>700002504</v>
      </c>
      <c r="H316" s="1">
        <v>45672</v>
      </c>
      <c r="I316">
        <f>YEAR(Table1[[#This Row],[Posting Date]])</f>
        <v>2025</v>
      </c>
      <c r="J316">
        <f>MONTH(Table1[[#This Row],[Posting Date]])</f>
        <v>1</v>
      </c>
      <c r="K316" t="str">
        <f>IF(Table1[[#This Row],[Type]]="IN",VLOOKUP(Table1[[#This Row],[Cust '#]],ClientInfo!$A:$D,4,0),"")</f>
        <v/>
      </c>
      <c r="L316" s="1" t="str">
        <f>IF(K316="NET30",Table1[[#This Row],[Posting Date]]+30,IF(K316="NET15",Table1[[#This Row],[Posting Date]]+15,IF(K316="COD",Table1[[#This Row],[Posting Date]],"")))</f>
        <v/>
      </c>
      <c r="M316" s="4" t="str">
        <f>IFERROR(IF(Table1[[#This Row],[Type]]="IN",Table1[[#This Row],[RC Date]]-Table1[[#This Row],[Posting Date]],""),"")</f>
        <v/>
      </c>
      <c r="N316">
        <f>IFERROR(IF(Table1[[#This Row],[Balance Due (LC)]]&lt;&gt;0,$S$1-L316,0),"")</f>
        <v>0</v>
      </c>
      <c r="O316" t="str">
        <f>IFERROR(IF(Table1[[#This Row],[Type]]="IN",Table1[[#This Row],[C/D (LC)]],IF(Table1[[#This Row],[Type]]="CN",Table1[[#This Row],[C/D (LC)]],"")),"")</f>
        <v/>
      </c>
      <c r="P316" t="str">
        <f>VLOOKUP(Table1[[#This Row],[Cust '#]],ClientInfo!$A:$B,2,0)</f>
        <v>Client_04</v>
      </c>
    </row>
    <row r="317" spans="1:16">
      <c r="A317" t="s">
        <v>110</v>
      </c>
      <c r="B317" t="s">
        <v>10</v>
      </c>
      <c r="C317">
        <v>700002543</v>
      </c>
      <c r="D317" s="1">
        <v>45674</v>
      </c>
      <c r="E317">
        <v>-4653.6000000000004</v>
      </c>
      <c r="F317">
        <v>0</v>
      </c>
      <c r="G317">
        <v>700002543</v>
      </c>
      <c r="H317" s="1">
        <v>45674</v>
      </c>
      <c r="I317">
        <f>YEAR(Table1[[#This Row],[Posting Date]])</f>
        <v>2025</v>
      </c>
      <c r="J317">
        <f>MONTH(Table1[[#This Row],[Posting Date]])</f>
        <v>1</v>
      </c>
      <c r="K317" t="str">
        <f>IF(Table1[[#This Row],[Type]]="IN",VLOOKUP(Table1[[#This Row],[Cust '#]],ClientInfo!$A:$D,4,0),"")</f>
        <v/>
      </c>
      <c r="L317" s="1" t="str">
        <f>IF(K317="NET30",Table1[[#This Row],[Posting Date]]+30,IF(K317="NET15",Table1[[#This Row],[Posting Date]]+15,IF(K317="COD",Table1[[#This Row],[Posting Date]],"")))</f>
        <v/>
      </c>
      <c r="M317" s="4" t="str">
        <f>IFERROR(IF(Table1[[#This Row],[Type]]="IN",Table1[[#This Row],[RC Date]]-Table1[[#This Row],[Posting Date]],""),"")</f>
        <v/>
      </c>
      <c r="N317">
        <f>IFERROR(IF(Table1[[#This Row],[Balance Due (LC)]]&lt;&gt;0,$S$1-L317,0),"")</f>
        <v>0</v>
      </c>
      <c r="O317" t="str">
        <f>IFERROR(IF(Table1[[#This Row],[Type]]="IN",Table1[[#This Row],[C/D (LC)]],IF(Table1[[#This Row],[Type]]="CN",Table1[[#This Row],[C/D (LC)]],"")),"")</f>
        <v/>
      </c>
      <c r="P317" t="str">
        <f>VLOOKUP(Table1[[#This Row],[Cust '#]],ClientInfo!$A:$B,2,0)</f>
        <v>Client_04</v>
      </c>
    </row>
    <row r="318" spans="1:16">
      <c r="A318" t="s">
        <v>110</v>
      </c>
      <c r="B318" t="s">
        <v>12</v>
      </c>
      <c r="C318">
        <v>140019535</v>
      </c>
      <c r="D318" s="1">
        <v>45679</v>
      </c>
      <c r="E318">
        <v>3037.28</v>
      </c>
      <c r="F318">
        <v>0</v>
      </c>
      <c r="G318">
        <v>700002640</v>
      </c>
      <c r="H318" s="1">
        <v>45692</v>
      </c>
      <c r="I318">
        <f>YEAR(Table1[[#This Row],[Posting Date]])</f>
        <v>2025</v>
      </c>
      <c r="J318">
        <f>MONTH(Table1[[#This Row],[Posting Date]])</f>
        <v>1</v>
      </c>
      <c r="K318" t="str">
        <f>IF(Table1[[#This Row],[Type]]="IN",VLOOKUP(Table1[[#This Row],[Cust '#]],ClientInfo!$A:$D,4,0),"")</f>
        <v>NET30</v>
      </c>
      <c r="L318" s="1">
        <f>IF(K318="NET30",Table1[[#This Row],[Posting Date]]+30,IF(K318="NET15",Table1[[#This Row],[Posting Date]]+15,IF(K318="COD",Table1[[#This Row],[Posting Date]],"")))</f>
        <v>45709</v>
      </c>
      <c r="M318" s="4">
        <f>IFERROR(IF(Table1[[#This Row],[Type]]="IN",Table1[[#This Row],[RC Date]]-Table1[[#This Row],[Posting Date]],""),"")</f>
        <v>13</v>
      </c>
      <c r="N318">
        <f>IFERROR(IF(Table1[[#This Row],[Balance Due (LC)]]&lt;&gt;0,$S$1-L318,0),"")</f>
        <v>0</v>
      </c>
      <c r="O318">
        <f>IFERROR(IF(Table1[[#This Row],[Type]]="IN",Table1[[#This Row],[C/D (LC)]],IF(Table1[[#This Row],[Type]]="CN",Table1[[#This Row],[C/D (LC)]],"")),"")</f>
        <v>3037.28</v>
      </c>
      <c r="P318" t="str">
        <f>VLOOKUP(Table1[[#This Row],[Cust '#]],ClientInfo!$A:$B,2,0)</f>
        <v>Client_04</v>
      </c>
    </row>
    <row r="319" spans="1:16">
      <c r="A319" t="s">
        <v>110</v>
      </c>
      <c r="B319" t="s">
        <v>12</v>
      </c>
      <c r="C319">
        <v>140019536</v>
      </c>
      <c r="D319" s="1">
        <v>45679</v>
      </c>
      <c r="E319">
        <v>300</v>
      </c>
      <c r="F319">
        <v>0</v>
      </c>
      <c r="G319">
        <v>700002640</v>
      </c>
      <c r="H319" s="1">
        <v>45692</v>
      </c>
      <c r="I319">
        <f>YEAR(Table1[[#This Row],[Posting Date]])</f>
        <v>2025</v>
      </c>
      <c r="J319">
        <f>MONTH(Table1[[#This Row],[Posting Date]])</f>
        <v>1</v>
      </c>
      <c r="K319" t="str">
        <f>IF(Table1[[#This Row],[Type]]="IN",VLOOKUP(Table1[[#This Row],[Cust '#]],ClientInfo!$A:$D,4,0),"")</f>
        <v>NET30</v>
      </c>
      <c r="L319" s="1">
        <f>IF(K319="NET30",Table1[[#This Row],[Posting Date]]+30,IF(K319="NET15",Table1[[#This Row],[Posting Date]]+15,IF(K319="COD",Table1[[#This Row],[Posting Date]],"")))</f>
        <v>45709</v>
      </c>
      <c r="M319" s="4">
        <f>IFERROR(IF(Table1[[#This Row],[Type]]="IN",Table1[[#This Row],[RC Date]]-Table1[[#This Row],[Posting Date]],""),"")</f>
        <v>13</v>
      </c>
      <c r="N319">
        <f>IFERROR(IF(Table1[[#This Row],[Balance Due (LC)]]&lt;&gt;0,$S$1-L319,0),"")</f>
        <v>0</v>
      </c>
      <c r="O319">
        <f>IFERROR(IF(Table1[[#This Row],[Type]]="IN",Table1[[#This Row],[C/D (LC)]],IF(Table1[[#This Row],[Type]]="CN",Table1[[#This Row],[C/D (LC)]],"")),"")</f>
        <v>300</v>
      </c>
      <c r="P319" t="str">
        <f>VLOOKUP(Table1[[#This Row],[Cust '#]],ClientInfo!$A:$B,2,0)</f>
        <v>Client_04</v>
      </c>
    </row>
    <row r="320" spans="1:16">
      <c r="A320" t="s">
        <v>110</v>
      </c>
      <c r="B320" t="s">
        <v>10</v>
      </c>
      <c r="C320">
        <v>700002590</v>
      </c>
      <c r="D320" s="1">
        <v>45684</v>
      </c>
      <c r="E320">
        <v>-5272</v>
      </c>
      <c r="F320">
        <v>0</v>
      </c>
      <c r="G320">
        <v>700002590</v>
      </c>
      <c r="H320" s="1">
        <v>45684</v>
      </c>
      <c r="I320">
        <f>YEAR(Table1[[#This Row],[Posting Date]])</f>
        <v>2025</v>
      </c>
      <c r="J320">
        <f>MONTH(Table1[[#This Row],[Posting Date]])</f>
        <v>1</v>
      </c>
      <c r="K320" t="str">
        <f>IF(Table1[[#This Row],[Type]]="IN",VLOOKUP(Table1[[#This Row],[Cust '#]],ClientInfo!$A:$D,4,0),"")</f>
        <v/>
      </c>
      <c r="L320" s="1" t="str">
        <f>IF(K320="NET30",Table1[[#This Row],[Posting Date]]+30,IF(K320="NET15",Table1[[#This Row],[Posting Date]]+15,IF(K320="COD",Table1[[#This Row],[Posting Date]],"")))</f>
        <v/>
      </c>
      <c r="M320" s="4" t="str">
        <f>IFERROR(IF(Table1[[#This Row],[Type]]="IN",Table1[[#This Row],[RC Date]]-Table1[[#This Row],[Posting Date]],""),"")</f>
        <v/>
      </c>
      <c r="N320">
        <f>IFERROR(IF(Table1[[#This Row],[Balance Due (LC)]]&lt;&gt;0,$S$1-L320,0),"")</f>
        <v>0</v>
      </c>
      <c r="O320" t="str">
        <f>IFERROR(IF(Table1[[#This Row],[Type]]="IN",Table1[[#This Row],[C/D (LC)]],IF(Table1[[#This Row],[Type]]="CN",Table1[[#This Row],[C/D (LC)]],"")),"")</f>
        <v/>
      </c>
      <c r="P320" t="str">
        <f>VLOOKUP(Table1[[#This Row],[Cust '#]],ClientInfo!$A:$B,2,0)</f>
        <v>Client_04</v>
      </c>
    </row>
    <row r="321" spans="1:16">
      <c r="A321" t="s">
        <v>110</v>
      </c>
      <c r="B321" t="s">
        <v>12</v>
      </c>
      <c r="C321">
        <v>140019864</v>
      </c>
      <c r="D321" s="1">
        <v>45686</v>
      </c>
      <c r="E321">
        <v>6766.4</v>
      </c>
      <c r="F321">
        <v>0</v>
      </c>
      <c r="G321">
        <v>700002702</v>
      </c>
      <c r="H321" s="1">
        <v>45698</v>
      </c>
      <c r="I321">
        <f>YEAR(Table1[[#This Row],[Posting Date]])</f>
        <v>2025</v>
      </c>
      <c r="J321">
        <f>MONTH(Table1[[#This Row],[Posting Date]])</f>
        <v>1</v>
      </c>
      <c r="K321" t="str">
        <f>IF(Table1[[#This Row],[Type]]="IN",VLOOKUP(Table1[[#This Row],[Cust '#]],ClientInfo!$A:$D,4,0),"")</f>
        <v>NET30</v>
      </c>
      <c r="L321" s="1">
        <f>IF(K321="NET30",Table1[[#This Row],[Posting Date]]+30,IF(K321="NET15",Table1[[#This Row],[Posting Date]]+15,IF(K321="COD",Table1[[#This Row],[Posting Date]],"")))</f>
        <v>45716</v>
      </c>
      <c r="M321" s="4">
        <f>IFERROR(IF(Table1[[#This Row],[Type]]="IN",Table1[[#This Row],[RC Date]]-Table1[[#This Row],[Posting Date]],""),"")</f>
        <v>12</v>
      </c>
      <c r="N321">
        <f>IFERROR(IF(Table1[[#This Row],[Balance Due (LC)]]&lt;&gt;0,$S$1-L321,0),"")</f>
        <v>0</v>
      </c>
      <c r="O321">
        <f>IFERROR(IF(Table1[[#This Row],[Type]]="IN",Table1[[#This Row],[C/D (LC)]],IF(Table1[[#This Row],[Type]]="CN",Table1[[#This Row],[C/D (LC)]],"")),"")</f>
        <v>6766.4</v>
      </c>
      <c r="P321" t="str">
        <f>VLOOKUP(Table1[[#This Row],[Cust '#]],ClientInfo!$A:$B,2,0)</f>
        <v>Client_04</v>
      </c>
    </row>
    <row r="322" spans="1:16">
      <c r="A322" t="s">
        <v>110</v>
      </c>
      <c r="B322" t="s">
        <v>10</v>
      </c>
      <c r="C322">
        <v>700002640</v>
      </c>
      <c r="D322" s="1">
        <v>45692</v>
      </c>
      <c r="E322">
        <v>-3337.28</v>
      </c>
      <c r="F322">
        <v>0</v>
      </c>
      <c r="G322">
        <v>700002640</v>
      </c>
      <c r="H322" s="1">
        <v>45692</v>
      </c>
      <c r="I322">
        <f>YEAR(Table1[[#This Row],[Posting Date]])</f>
        <v>2025</v>
      </c>
      <c r="J322">
        <f>MONTH(Table1[[#This Row],[Posting Date]])</f>
        <v>2</v>
      </c>
      <c r="K322" t="str">
        <f>IF(Table1[[#This Row],[Type]]="IN",VLOOKUP(Table1[[#This Row],[Cust '#]],ClientInfo!$A:$D,4,0),"")</f>
        <v/>
      </c>
      <c r="L322" s="1" t="str">
        <f>IF(K322="NET30",Table1[[#This Row],[Posting Date]]+30,IF(K322="NET15",Table1[[#This Row],[Posting Date]]+15,IF(K322="COD",Table1[[#This Row],[Posting Date]],"")))</f>
        <v/>
      </c>
      <c r="M322" s="4" t="str">
        <f>IFERROR(IF(Table1[[#This Row],[Type]]="IN",Table1[[#This Row],[RC Date]]-Table1[[#This Row],[Posting Date]],""),"")</f>
        <v/>
      </c>
      <c r="N322">
        <f>IFERROR(IF(Table1[[#This Row],[Balance Due (LC)]]&lt;&gt;0,$S$1-L322,0),"")</f>
        <v>0</v>
      </c>
      <c r="O322" t="str">
        <f>IFERROR(IF(Table1[[#This Row],[Type]]="IN",Table1[[#This Row],[C/D (LC)]],IF(Table1[[#This Row],[Type]]="CN",Table1[[#This Row],[C/D (LC)]],"")),"")</f>
        <v/>
      </c>
      <c r="P322" t="str">
        <f>VLOOKUP(Table1[[#This Row],[Cust '#]],ClientInfo!$A:$B,2,0)</f>
        <v>Client_04</v>
      </c>
    </row>
    <row r="323" spans="1:16">
      <c r="A323" t="s">
        <v>110</v>
      </c>
      <c r="B323" t="s">
        <v>13</v>
      </c>
      <c r="C323">
        <v>150000881</v>
      </c>
      <c r="D323" s="1">
        <v>45692</v>
      </c>
      <c r="E323">
        <v>-106.6</v>
      </c>
      <c r="F323">
        <v>0</v>
      </c>
      <c r="G323">
        <v>700002843</v>
      </c>
      <c r="H323" s="1">
        <v>45715</v>
      </c>
      <c r="I323">
        <f>YEAR(Table1[[#This Row],[Posting Date]])</f>
        <v>2025</v>
      </c>
      <c r="J323">
        <f>MONTH(Table1[[#This Row],[Posting Date]])</f>
        <v>2</v>
      </c>
      <c r="K323" t="str">
        <f>IF(Table1[[#This Row],[Type]]="IN",VLOOKUP(Table1[[#This Row],[Cust '#]],ClientInfo!$A:$D,4,0),"")</f>
        <v/>
      </c>
      <c r="L323" s="1" t="str">
        <f>IF(K323="NET30",Table1[[#This Row],[Posting Date]]+30,IF(K323="NET15",Table1[[#This Row],[Posting Date]]+15,IF(K323="COD",Table1[[#This Row],[Posting Date]],"")))</f>
        <v/>
      </c>
      <c r="M323" s="4" t="str">
        <f>IFERROR(IF(Table1[[#This Row],[Type]]="IN",Table1[[#This Row],[RC Date]]-Table1[[#This Row],[Posting Date]],""),"")</f>
        <v/>
      </c>
      <c r="N323">
        <f>IFERROR(IF(Table1[[#This Row],[Balance Due (LC)]]&lt;&gt;0,$S$1-L323,0),"")</f>
        <v>0</v>
      </c>
      <c r="O323">
        <f>IFERROR(IF(Table1[[#This Row],[Type]]="IN",Table1[[#This Row],[C/D (LC)]],IF(Table1[[#This Row],[Type]]="CN",Table1[[#This Row],[C/D (LC)]],"")),"")</f>
        <v>-106.6</v>
      </c>
      <c r="P323" t="str">
        <f>VLOOKUP(Table1[[#This Row],[Cust '#]],ClientInfo!$A:$B,2,0)</f>
        <v>Client_04</v>
      </c>
    </row>
    <row r="324" spans="1:16">
      <c r="A324" t="s">
        <v>110</v>
      </c>
      <c r="B324" t="s">
        <v>12</v>
      </c>
      <c r="C324">
        <v>140020176</v>
      </c>
      <c r="D324" s="1">
        <v>45693</v>
      </c>
      <c r="E324">
        <v>2967.1</v>
      </c>
      <c r="F324">
        <v>0</v>
      </c>
      <c r="G324">
        <v>700002756</v>
      </c>
      <c r="H324" s="1">
        <v>45706</v>
      </c>
      <c r="I324">
        <f>YEAR(Table1[[#This Row],[Posting Date]])</f>
        <v>2025</v>
      </c>
      <c r="J324">
        <f>MONTH(Table1[[#This Row],[Posting Date]])</f>
        <v>2</v>
      </c>
      <c r="K324" t="str">
        <f>IF(Table1[[#This Row],[Type]]="IN",VLOOKUP(Table1[[#This Row],[Cust '#]],ClientInfo!$A:$D,4,0),"")</f>
        <v>NET30</v>
      </c>
      <c r="L324" s="1">
        <f>IF(K324="NET30",Table1[[#This Row],[Posting Date]]+30,IF(K324="NET15",Table1[[#This Row],[Posting Date]]+15,IF(K324="COD",Table1[[#This Row],[Posting Date]],"")))</f>
        <v>45723</v>
      </c>
      <c r="M324" s="4">
        <f>IFERROR(IF(Table1[[#This Row],[Type]]="IN",Table1[[#This Row],[RC Date]]-Table1[[#This Row],[Posting Date]],""),"")</f>
        <v>13</v>
      </c>
      <c r="N324">
        <f>IFERROR(IF(Table1[[#This Row],[Balance Due (LC)]]&lt;&gt;0,$S$1-L324,0),"")</f>
        <v>0</v>
      </c>
      <c r="O324">
        <f>IFERROR(IF(Table1[[#This Row],[Type]]="IN",Table1[[#This Row],[C/D (LC)]],IF(Table1[[#This Row],[Type]]="CN",Table1[[#This Row],[C/D (LC)]],"")),"")</f>
        <v>2967.1</v>
      </c>
      <c r="P324" t="str">
        <f>VLOOKUP(Table1[[#This Row],[Cust '#]],ClientInfo!$A:$B,2,0)</f>
        <v>Client_04</v>
      </c>
    </row>
    <row r="325" spans="1:16">
      <c r="A325" t="s">
        <v>110</v>
      </c>
      <c r="B325" t="s">
        <v>10</v>
      </c>
      <c r="C325">
        <v>700002702</v>
      </c>
      <c r="D325" s="1">
        <v>45698</v>
      </c>
      <c r="E325">
        <v>-6766.4</v>
      </c>
      <c r="F325">
        <v>0</v>
      </c>
      <c r="G325">
        <v>700002702</v>
      </c>
      <c r="H325" s="1">
        <v>45698</v>
      </c>
      <c r="I325">
        <f>YEAR(Table1[[#This Row],[Posting Date]])</f>
        <v>2025</v>
      </c>
      <c r="J325">
        <f>MONTH(Table1[[#This Row],[Posting Date]])</f>
        <v>2</v>
      </c>
      <c r="K325" t="str">
        <f>IF(Table1[[#This Row],[Type]]="IN",VLOOKUP(Table1[[#This Row],[Cust '#]],ClientInfo!$A:$D,4,0),"")</f>
        <v/>
      </c>
      <c r="L325" s="1" t="str">
        <f>IF(K325="NET30",Table1[[#This Row],[Posting Date]]+30,IF(K325="NET15",Table1[[#This Row],[Posting Date]]+15,IF(K325="COD",Table1[[#This Row],[Posting Date]],"")))</f>
        <v/>
      </c>
      <c r="M325" s="4" t="str">
        <f>IFERROR(IF(Table1[[#This Row],[Type]]="IN",Table1[[#This Row],[RC Date]]-Table1[[#This Row],[Posting Date]],""),"")</f>
        <v/>
      </c>
      <c r="N325">
        <f>IFERROR(IF(Table1[[#This Row],[Balance Due (LC)]]&lt;&gt;0,$S$1-L325,0),"")</f>
        <v>0</v>
      </c>
      <c r="O325" t="str">
        <f>IFERROR(IF(Table1[[#This Row],[Type]]="IN",Table1[[#This Row],[C/D (LC)]],IF(Table1[[#This Row],[Type]]="CN",Table1[[#This Row],[C/D (LC)]],"")),"")</f>
        <v/>
      </c>
      <c r="P325" t="str">
        <f>VLOOKUP(Table1[[#This Row],[Cust '#]],ClientInfo!$A:$B,2,0)</f>
        <v>Client_04</v>
      </c>
    </row>
    <row r="326" spans="1:16">
      <c r="A326" t="s">
        <v>110</v>
      </c>
      <c r="B326" t="s">
        <v>12</v>
      </c>
      <c r="C326">
        <v>140020501</v>
      </c>
      <c r="D326" s="1">
        <v>45700</v>
      </c>
      <c r="E326">
        <v>15680</v>
      </c>
      <c r="F326">
        <v>0</v>
      </c>
      <c r="G326">
        <v>700002843</v>
      </c>
      <c r="H326" s="1">
        <v>45715</v>
      </c>
      <c r="I326">
        <f>YEAR(Table1[[#This Row],[Posting Date]])</f>
        <v>2025</v>
      </c>
      <c r="J326">
        <f>MONTH(Table1[[#This Row],[Posting Date]])</f>
        <v>2</v>
      </c>
      <c r="K326" t="str">
        <f>IF(Table1[[#This Row],[Type]]="IN",VLOOKUP(Table1[[#This Row],[Cust '#]],ClientInfo!$A:$D,4,0),"")</f>
        <v>NET30</v>
      </c>
      <c r="L326" s="1">
        <f>IF(K326="NET30",Table1[[#This Row],[Posting Date]]+30,IF(K326="NET15",Table1[[#This Row],[Posting Date]]+15,IF(K326="COD",Table1[[#This Row],[Posting Date]],"")))</f>
        <v>45730</v>
      </c>
      <c r="M326" s="4">
        <f>IFERROR(IF(Table1[[#This Row],[Type]]="IN",Table1[[#This Row],[RC Date]]-Table1[[#This Row],[Posting Date]],""),"")</f>
        <v>15</v>
      </c>
      <c r="N326">
        <f>IFERROR(IF(Table1[[#This Row],[Balance Due (LC)]]&lt;&gt;0,$S$1-L326,0),"")</f>
        <v>0</v>
      </c>
      <c r="O326">
        <f>IFERROR(IF(Table1[[#This Row],[Type]]="IN",Table1[[#This Row],[C/D (LC)]],IF(Table1[[#This Row],[Type]]="CN",Table1[[#This Row],[C/D (LC)]],"")),"")</f>
        <v>15680</v>
      </c>
      <c r="P326" t="str">
        <f>VLOOKUP(Table1[[#This Row],[Cust '#]],ClientInfo!$A:$B,2,0)</f>
        <v>Client_04</v>
      </c>
    </row>
    <row r="327" spans="1:16">
      <c r="A327" t="s">
        <v>110</v>
      </c>
      <c r="B327" t="s">
        <v>12</v>
      </c>
      <c r="C327">
        <v>140020502</v>
      </c>
      <c r="D327" s="1">
        <v>45700</v>
      </c>
      <c r="E327">
        <v>2621</v>
      </c>
      <c r="F327">
        <v>0</v>
      </c>
      <c r="G327">
        <v>700002843</v>
      </c>
      <c r="H327" s="1">
        <v>45715</v>
      </c>
      <c r="I327">
        <f>YEAR(Table1[[#This Row],[Posting Date]])</f>
        <v>2025</v>
      </c>
      <c r="J327">
        <f>MONTH(Table1[[#This Row],[Posting Date]])</f>
        <v>2</v>
      </c>
      <c r="K327" t="str">
        <f>IF(Table1[[#This Row],[Type]]="IN",VLOOKUP(Table1[[#This Row],[Cust '#]],ClientInfo!$A:$D,4,0),"")</f>
        <v>NET30</v>
      </c>
      <c r="L327" s="1">
        <f>IF(K327="NET30",Table1[[#This Row],[Posting Date]]+30,IF(K327="NET15",Table1[[#This Row],[Posting Date]]+15,IF(K327="COD",Table1[[#This Row],[Posting Date]],"")))</f>
        <v>45730</v>
      </c>
      <c r="M327" s="4">
        <f>IFERROR(IF(Table1[[#This Row],[Type]]="IN",Table1[[#This Row],[RC Date]]-Table1[[#This Row],[Posting Date]],""),"")</f>
        <v>15</v>
      </c>
      <c r="N327">
        <f>IFERROR(IF(Table1[[#This Row],[Balance Due (LC)]]&lt;&gt;0,$S$1-L327,0),"")</f>
        <v>0</v>
      </c>
      <c r="O327">
        <f>IFERROR(IF(Table1[[#This Row],[Type]]="IN",Table1[[#This Row],[C/D (LC)]],IF(Table1[[#This Row],[Type]]="CN",Table1[[#This Row],[C/D (LC)]],"")),"")</f>
        <v>2621</v>
      </c>
      <c r="P327" t="str">
        <f>VLOOKUP(Table1[[#This Row],[Cust '#]],ClientInfo!$A:$B,2,0)</f>
        <v>Client_04</v>
      </c>
    </row>
    <row r="328" spans="1:16">
      <c r="A328" t="s">
        <v>110</v>
      </c>
      <c r="B328" t="s">
        <v>12</v>
      </c>
      <c r="C328">
        <v>140020548</v>
      </c>
      <c r="D328" s="1">
        <v>45700</v>
      </c>
      <c r="E328">
        <v>410</v>
      </c>
      <c r="F328">
        <v>0</v>
      </c>
      <c r="G328">
        <v>700002843</v>
      </c>
      <c r="H328" s="1">
        <v>45715</v>
      </c>
      <c r="I328">
        <f>YEAR(Table1[[#This Row],[Posting Date]])</f>
        <v>2025</v>
      </c>
      <c r="J328">
        <f>MONTH(Table1[[#This Row],[Posting Date]])</f>
        <v>2</v>
      </c>
      <c r="K328" t="str">
        <f>IF(Table1[[#This Row],[Type]]="IN",VLOOKUP(Table1[[#This Row],[Cust '#]],ClientInfo!$A:$D,4,0),"")</f>
        <v>NET30</v>
      </c>
      <c r="L328" s="1">
        <f>IF(K328="NET30",Table1[[#This Row],[Posting Date]]+30,IF(K328="NET15",Table1[[#This Row],[Posting Date]]+15,IF(K328="COD",Table1[[#This Row],[Posting Date]],"")))</f>
        <v>45730</v>
      </c>
      <c r="M328" s="4">
        <f>IFERROR(IF(Table1[[#This Row],[Type]]="IN",Table1[[#This Row],[RC Date]]-Table1[[#This Row],[Posting Date]],""),"")</f>
        <v>15</v>
      </c>
      <c r="N328">
        <f>IFERROR(IF(Table1[[#This Row],[Balance Due (LC)]]&lt;&gt;0,$S$1-L328,0),"")</f>
        <v>0</v>
      </c>
      <c r="O328">
        <f>IFERROR(IF(Table1[[#This Row],[Type]]="IN",Table1[[#This Row],[C/D (LC)]],IF(Table1[[#This Row],[Type]]="CN",Table1[[#This Row],[C/D (LC)]],"")),"")</f>
        <v>410</v>
      </c>
      <c r="P328" t="str">
        <f>VLOOKUP(Table1[[#This Row],[Cust '#]],ClientInfo!$A:$B,2,0)</f>
        <v>Client_04</v>
      </c>
    </row>
    <row r="329" spans="1:16">
      <c r="A329" t="s">
        <v>110</v>
      </c>
      <c r="B329" t="s">
        <v>10</v>
      </c>
      <c r="C329">
        <v>700002756</v>
      </c>
      <c r="D329" s="1">
        <v>45706</v>
      </c>
      <c r="E329">
        <v>-2967.1</v>
      </c>
      <c r="F329">
        <v>0</v>
      </c>
      <c r="G329">
        <v>700002756</v>
      </c>
      <c r="H329" s="1">
        <v>45706</v>
      </c>
      <c r="I329">
        <f>YEAR(Table1[[#This Row],[Posting Date]])</f>
        <v>2025</v>
      </c>
      <c r="J329">
        <f>MONTH(Table1[[#This Row],[Posting Date]])</f>
        <v>2</v>
      </c>
      <c r="K329" t="str">
        <f>IF(Table1[[#This Row],[Type]]="IN",VLOOKUP(Table1[[#This Row],[Cust '#]],ClientInfo!$A:$D,4,0),"")</f>
        <v/>
      </c>
      <c r="L329" s="1" t="str">
        <f>IF(K329="NET30",Table1[[#This Row],[Posting Date]]+30,IF(K329="NET15",Table1[[#This Row],[Posting Date]]+15,IF(K329="COD",Table1[[#This Row],[Posting Date]],"")))</f>
        <v/>
      </c>
      <c r="M329" s="4" t="str">
        <f>IFERROR(IF(Table1[[#This Row],[Type]]="IN",Table1[[#This Row],[RC Date]]-Table1[[#This Row],[Posting Date]],""),"")</f>
        <v/>
      </c>
      <c r="N329">
        <f>IFERROR(IF(Table1[[#This Row],[Balance Due (LC)]]&lt;&gt;0,$S$1-L329,0),"")</f>
        <v>0</v>
      </c>
      <c r="O329" t="str">
        <f>IFERROR(IF(Table1[[#This Row],[Type]]="IN",Table1[[#This Row],[C/D (LC)]],IF(Table1[[#This Row],[Type]]="CN",Table1[[#This Row],[C/D (LC)]],"")),"")</f>
        <v/>
      </c>
      <c r="P329" t="str">
        <f>VLOOKUP(Table1[[#This Row],[Cust '#]],ClientInfo!$A:$B,2,0)</f>
        <v>Client_04</v>
      </c>
    </row>
    <row r="330" spans="1:16">
      <c r="A330" t="s">
        <v>110</v>
      </c>
      <c r="B330" t="s">
        <v>12</v>
      </c>
      <c r="C330">
        <v>140020830</v>
      </c>
      <c r="D330" s="1">
        <v>45707</v>
      </c>
      <c r="E330">
        <v>3520.48</v>
      </c>
      <c r="F330">
        <v>0</v>
      </c>
      <c r="G330">
        <v>700002865</v>
      </c>
      <c r="H330" s="1">
        <v>45720</v>
      </c>
      <c r="I330">
        <f>YEAR(Table1[[#This Row],[Posting Date]])</f>
        <v>2025</v>
      </c>
      <c r="J330">
        <f>MONTH(Table1[[#This Row],[Posting Date]])</f>
        <v>2</v>
      </c>
      <c r="K330" t="str">
        <f>IF(Table1[[#This Row],[Type]]="IN",VLOOKUP(Table1[[#This Row],[Cust '#]],ClientInfo!$A:$D,4,0),"")</f>
        <v>NET30</v>
      </c>
      <c r="L330" s="1">
        <f>IF(K330="NET30",Table1[[#This Row],[Posting Date]]+30,IF(K330="NET15",Table1[[#This Row],[Posting Date]]+15,IF(K330="COD",Table1[[#This Row],[Posting Date]],"")))</f>
        <v>45737</v>
      </c>
      <c r="M330" s="4">
        <f>IFERROR(IF(Table1[[#This Row],[Type]]="IN",Table1[[#This Row],[RC Date]]-Table1[[#This Row],[Posting Date]],""),"")</f>
        <v>13</v>
      </c>
      <c r="N330">
        <f>IFERROR(IF(Table1[[#This Row],[Balance Due (LC)]]&lt;&gt;0,$S$1-L330,0),"")</f>
        <v>0</v>
      </c>
      <c r="O330">
        <f>IFERROR(IF(Table1[[#This Row],[Type]]="IN",Table1[[#This Row],[C/D (LC)]],IF(Table1[[#This Row],[Type]]="CN",Table1[[#This Row],[C/D (LC)]],"")),"")</f>
        <v>3520.48</v>
      </c>
      <c r="P330" t="str">
        <f>VLOOKUP(Table1[[#This Row],[Cust '#]],ClientInfo!$A:$B,2,0)</f>
        <v>Client_04</v>
      </c>
    </row>
    <row r="331" spans="1:16">
      <c r="A331" t="s">
        <v>110</v>
      </c>
      <c r="B331" t="s">
        <v>12</v>
      </c>
      <c r="C331">
        <v>140020831</v>
      </c>
      <c r="D331" s="1">
        <v>45707</v>
      </c>
      <c r="E331">
        <v>216</v>
      </c>
      <c r="F331">
        <v>0</v>
      </c>
      <c r="G331">
        <v>700002865</v>
      </c>
      <c r="H331" s="1">
        <v>45720</v>
      </c>
      <c r="I331">
        <f>YEAR(Table1[[#This Row],[Posting Date]])</f>
        <v>2025</v>
      </c>
      <c r="J331">
        <f>MONTH(Table1[[#This Row],[Posting Date]])</f>
        <v>2</v>
      </c>
      <c r="K331" t="str">
        <f>IF(Table1[[#This Row],[Type]]="IN",VLOOKUP(Table1[[#This Row],[Cust '#]],ClientInfo!$A:$D,4,0),"")</f>
        <v>NET30</v>
      </c>
      <c r="L331" s="1">
        <f>IF(K331="NET30",Table1[[#This Row],[Posting Date]]+30,IF(K331="NET15",Table1[[#This Row],[Posting Date]]+15,IF(K331="COD",Table1[[#This Row],[Posting Date]],"")))</f>
        <v>45737</v>
      </c>
      <c r="M331" s="4">
        <f>IFERROR(IF(Table1[[#This Row],[Type]]="IN",Table1[[#This Row],[RC Date]]-Table1[[#This Row],[Posting Date]],""),"")</f>
        <v>13</v>
      </c>
      <c r="N331">
        <f>IFERROR(IF(Table1[[#This Row],[Balance Due (LC)]]&lt;&gt;0,$S$1-L331,0),"")</f>
        <v>0</v>
      </c>
      <c r="O331">
        <f>IFERROR(IF(Table1[[#This Row],[Type]]="IN",Table1[[#This Row],[C/D (LC)]],IF(Table1[[#This Row],[Type]]="CN",Table1[[#This Row],[C/D (LC)]],"")),"")</f>
        <v>216</v>
      </c>
      <c r="P331" t="str">
        <f>VLOOKUP(Table1[[#This Row],[Cust '#]],ClientInfo!$A:$B,2,0)</f>
        <v>Client_04</v>
      </c>
    </row>
    <row r="332" spans="1:16">
      <c r="A332" t="s">
        <v>110</v>
      </c>
      <c r="B332" t="s">
        <v>10</v>
      </c>
      <c r="C332">
        <v>700002843</v>
      </c>
      <c r="D332" s="1">
        <v>45715</v>
      </c>
      <c r="E332">
        <v>-18604.400000000001</v>
      </c>
      <c r="F332">
        <v>0</v>
      </c>
      <c r="G332">
        <v>700002843</v>
      </c>
      <c r="H332" s="1">
        <v>45715</v>
      </c>
      <c r="I332">
        <f>YEAR(Table1[[#This Row],[Posting Date]])</f>
        <v>2025</v>
      </c>
      <c r="J332">
        <f>MONTH(Table1[[#This Row],[Posting Date]])</f>
        <v>2</v>
      </c>
      <c r="K332" t="str">
        <f>IF(Table1[[#This Row],[Type]]="IN",VLOOKUP(Table1[[#This Row],[Cust '#]],ClientInfo!$A:$D,4,0),"")</f>
        <v/>
      </c>
      <c r="L332" s="1" t="str">
        <f>IF(K332="NET30",Table1[[#This Row],[Posting Date]]+30,IF(K332="NET15",Table1[[#This Row],[Posting Date]]+15,IF(K332="COD",Table1[[#This Row],[Posting Date]],"")))</f>
        <v/>
      </c>
      <c r="M332" s="4" t="str">
        <f>IFERROR(IF(Table1[[#This Row],[Type]]="IN",Table1[[#This Row],[RC Date]]-Table1[[#This Row],[Posting Date]],""),"")</f>
        <v/>
      </c>
      <c r="N332">
        <f>IFERROR(IF(Table1[[#This Row],[Balance Due (LC)]]&lt;&gt;0,$S$1-L332,0),"")</f>
        <v>0</v>
      </c>
      <c r="O332" t="str">
        <f>IFERROR(IF(Table1[[#This Row],[Type]]="IN",Table1[[#This Row],[C/D (LC)]],IF(Table1[[#This Row],[Type]]="CN",Table1[[#This Row],[C/D (LC)]],"")),"")</f>
        <v/>
      </c>
      <c r="P332" t="str">
        <f>VLOOKUP(Table1[[#This Row],[Cust '#]],ClientInfo!$A:$B,2,0)</f>
        <v>Client_04</v>
      </c>
    </row>
    <row r="333" spans="1:16">
      <c r="A333" t="s">
        <v>110</v>
      </c>
      <c r="B333" t="s">
        <v>12</v>
      </c>
      <c r="C333">
        <v>140021336</v>
      </c>
      <c r="D333" s="1">
        <v>45716</v>
      </c>
      <c r="E333">
        <v>3885.8</v>
      </c>
      <c r="F333">
        <v>0</v>
      </c>
      <c r="G333">
        <v>700002978</v>
      </c>
      <c r="H333" s="1">
        <v>45733</v>
      </c>
      <c r="I333">
        <f>YEAR(Table1[[#This Row],[Posting Date]])</f>
        <v>2025</v>
      </c>
      <c r="J333">
        <f>MONTH(Table1[[#This Row],[Posting Date]])</f>
        <v>2</v>
      </c>
      <c r="K333" t="str">
        <f>IF(Table1[[#This Row],[Type]]="IN",VLOOKUP(Table1[[#This Row],[Cust '#]],ClientInfo!$A:$D,4,0),"")</f>
        <v>NET30</v>
      </c>
      <c r="L333" s="1">
        <f>IF(K333="NET30",Table1[[#This Row],[Posting Date]]+30,IF(K333="NET15",Table1[[#This Row],[Posting Date]]+15,IF(K333="COD",Table1[[#This Row],[Posting Date]],"")))</f>
        <v>45746</v>
      </c>
      <c r="M333" s="4">
        <f>IFERROR(IF(Table1[[#This Row],[Type]]="IN",Table1[[#This Row],[RC Date]]-Table1[[#This Row],[Posting Date]],""),"")</f>
        <v>17</v>
      </c>
      <c r="N333">
        <f>IFERROR(IF(Table1[[#This Row],[Balance Due (LC)]]&lt;&gt;0,$S$1-L333,0),"")</f>
        <v>0</v>
      </c>
      <c r="O333">
        <f>IFERROR(IF(Table1[[#This Row],[Type]]="IN",Table1[[#This Row],[C/D (LC)]],IF(Table1[[#This Row],[Type]]="CN",Table1[[#This Row],[C/D (LC)]],"")),"")</f>
        <v>3885.8</v>
      </c>
      <c r="P333" t="str">
        <f>VLOOKUP(Table1[[#This Row],[Cust '#]],ClientInfo!$A:$B,2,0)</f>
        <v>Client_04</v>
      </c>
    </row>
    <row r="334" spans="1:16">
      <c r="A334" t="s">
        <v>110</v>
      </c>
      <c r="B334" t="s">
        <v>12</v>
      </c>
      <c r="C334">
        <v>140021362</v>
      </c>
      <c r="D334" s="1">
        <v>45719</v>
      </c>
      <c r="E334">
        <v>685.2</v>
      </c>
      <c r="F334">
        <v>0</v>
      </c>
      <c r="G334">
        <v>700002978</v>
      </c>
      <c r="H334" s="1">
        <v>45733</v>
      </c>
      <c r="I334">
        <f>YEAR(Table1[[#This Row],[Posting Date]])</f>
        <v>2025</v>
      </c>
      <c r="J334">
        <f>MONTH(Table1[[#This Row],[Posting Date]])</f>
        <v>3</v>
      </c>
      <c r="K334" t="str">
        <f>IF(Table1[[#This Row],[Type]]="IN",VLOOKUP(Table1[[#This Row],[Cust '#]],ClientInfo!$A:$D,4,0),"")</f>
        <v>NET30</v>
      </c>
      <c r="L334" s="1">
        <f>IF(K334="NET30",Table1[[#This Row],[Posting Date]]+30,IF(K334="NET15",Table1[[#This Row],[Posting Date]]+15,IF(K334="COD",Table1[[#This Row],[Posting Date]],"")))</f>
        <v>45749</v>
      </c>
      <c r="M334" s="4">
        <f>IFERROR(IF(Table1[[#This Row],[Type]]="IN",Table1[[#This Row],[RC Date]]-Table1[[#This Row],[Posting Date]],""),"")</f>
        <v>14</v>
      </c>
      <c r="N334">
        <f>IFERROR(IF(Table1[[#This Row],[Balance Due (LC)]]&lt;&gt;0,$S$1-L334,0),"")</f>
        <v>0</v>
      </c>
      <c r="O334">
        <f>IFERROR(IF(Table1[[#This Row],[Type]]="IN",Table1[[#This Row],[C/D (LC)]],IF(Table1[[#This Row],[Type]]="CN",Table1[[#This Row],[C/D (LC)]],"")),"")</f>
        <v>685.2</v>
      </c>
      <c r="P334" t="str">
        <f>VLOOKUP(Table1[[#This Row],[Cust '#]],ClientInfo!$A:$B,2,0)</f>
        <v>Client_04</v>
      </c>
    </row>
    <row r="335" spans="1:16">
      <c r="A335" t="s">
        <v>110</v>
      </c>
      <c r="B335" t="s">
        <v>10</v>
      </c>
      <c r="C335">
        <v>700002865</v>
      </c>
      <c r="D335" s="1">
        <v>45720</v>
      </c>
      <c r="E335">
        <v>-3736.48</v>
      </c>
      <c r="F335">
        <v>0</v>
      </c>
      <c r="G335">
        <v>700002865</v>
      </c>
      <c r="H335" s="1">
        <v>45720</v>
      </c>
      <c r="I335">
        <f>YEAR(Table1[[#This Row],[Posting Date]])</f>
        <v>2025</v>
      </c>
      <c r="J335">
        <f>MONTH(Table1[[#This Row],[Posting Date]])</f>
        <v>3</v>
      </c>
      <c r="K335" t="str">
        <f>IF(Table1[[#This Row],[Type]]="IN",VLOOKUP(Table1[[#This Row],[Cust '#]],ClientInfo!$A:$D,4,0),"")</f>
        <v/>
      </c>
      <c r="L335" s="1" t="str">
        <f>IF(K335="NET30",Table1[[#This Row],[Posting Date]]+30,IF(K335="NET15",Table1[[#This Row],[Posting Date]]+15,IF(K335="COD",Table1[[#This Row],[Posting Date]],"")))</f>
        <v/>
      </c>
      <c r="M335" s="4" t="str">
        <f>IFERROR(IF(Table1[[#This Row],[Type]]="IN",Table1[[#This Row],[RC Date]]-Table1[[#This Row],[Posting Date]],""),"")</f>
        <v/>
      </c>
      <c r="N335">
        <f>IFERROR(IF(Table1[[#This Row],[Balance Due (LC)]]&lt;&gt;0,$S$1-L335,0),"")</f>
        <v>0</v>
      </c>
      <c r="O335" t="str">
        <f>IFERROR(IF(Table1[[#This Row],[Type]]="IN",Table1[[#This Row],[C/D (LC)]],IF(Table1[[#This Row],[Type]]="CN",Table1[[#This Row],[C/D (LC)]],"")),"")</f>
        <v/>
      </c>
      <c r="P335" t="str">
        <f>VLOOKUP(Table1[[#This Row],[Cust '#]],ClientInfo!$A:$B,2,0)</f>
        <v>Client_04</v>
      </c>
    </row>
    <row r="336" spans="1:16">
      <c r="A336" t="s">
        <v>110</v>
      </c>
      <c r="B336" t="s">
        <v>12</v>
      </c>
      <c r="C336">
        <v>140021456</v>
      </c>
      <c r="D336" s="1">
        <v>45721</v>
      </c>
      <c r="E336">
        <v>5356.8</v>
      </c>
      <c r="F336">
        <v>0</v>
      </c>
      <c r="G336">
        <v>700002978</v>
      </c>
      <c r="H336" s="1">
        <v>45733</v>
      </c>
      <c r="I336">
        <f>YEAR(Table1[[#This Row],[Posting Date]])</f>
        <v>2025</v>
      </c>
      <c r="J336">
        <f>MONTH(Table1[[#This Row],[Posting Date]])</f>
        <v>3</v>
      </c>
      <c r="K336" t="str">
        <f>IF(Table1[[#This Row],[Type]]="IN",VLOOKUP(Table1[[#This Row],[Cust '#]],ClientInfo!$A:$D,4,0),"")</f>
        <v>NET30</v>
      </c>
      <c r="L336" s="1">
        <f>IF(K336="NET30",Table1[[#This Row],[Posting Date]]+30,IF(K336="NET15",Table1[[#This Row],[Posting Date]]+15,IF(K336="COD",Table1[[#This Row],[Posting Date]],"")))</f>
        <v>45751</v>
      </c>
      <c r="M336" s="4">
        <f>IFERROR(IF(Table1[[#This Row],[Type]]="IN",Table1[[#This Row],[RC Date]]-Table1[[#This Row],[Posting Date]],""),"")</f>
        <v>12</v>
      </c>
      <c r="N336">
        <f>IFERROR(IF(Table1[[#This Row],[Balance Due (LC)]]&lt;&gt;0,$S$1-L336,0),"")</f>
        <v>0</v>
      </c>
      <c r="O336">
        <f>IFERROR(IF(Table1[[#This Row],[Type]]="IN",Table1[[#This Row],[C/D (LC)]],IF(Table1[[#This Row],[Type]]="CN",Table1[[#This Row],[C/D (LC)]],"")),"")</f>
        <v>5356.8</v>
      </c>
      <c r="P336" t="str">
        <f>VLOOKUP(Table1[[#This Row],[Cust '#]],ClientInfo!$A:$B,2,0)</f>
        <v>Client_04</v>
      </c>
    </row>
    <row r="337" spans="1:16">
      <c r="A337" t="s">
        <v>110</v>
      </c>
      <c r="B337" t="s">
        <v>12</v>
      </c>
      <c r="C337">
        <v>140021751</v>
      </c>
      <c r="D337" s="1">
        <v>45728</v>
      </c>
      <c r="E337">
        <v>6288.1</v>
      </c>
      <c r="F337">
        <v>0</v>
      </c>
      <c r="G337">
        <v>700003052</v>
      </c>
      <c r="H337" s="1">
        <v>45740</v>
      </c>
      <c r="I337">
        <f>YEAR(Table1[[#This Row],[Posting Date]])</f>
        <v>2025</v>
      </c>
      <c r="J337">
        <f>MONTH(Table1[[#This Row],[Posting Date]])</f>
        <v>3</v>
      </c>
      <c r="K337" t="str">
        <f>IF(Table1[[#This Row],[Type]]="IN",VLOOKUP(Table1[[#This Row],[Cust '#]],ClientInfo!$A:$D,4,0),"")</f>
        <v>NET30</v>
      </c>
      <c r="L337" s="1">
        <f>IF(K337="NET30",Table1[[#This Row],[Posting Date]]+30,IF(K337="NET15",Table1[[#This Row],[Posting Date]]+15,IF(K337="COD",Table1[[#This Row],[Posting Date]],"")))</f>
        <v>45758</v>
      </c>
      <c r="M337" s="4">
        <f>IFERROR(IF(Table1[[#This Row],[Type]]="IN",Table1[[#This Row],[RC Date]]-Table1[[#This Row],[Posting Date]],""),"")</f>
        <v>12</v>
      </c>
      <c r="N337">
        <f>IFERROR(IF(Table1[[#This Row],[Balance Due (LC)]]&lt;&gt;0,$S$1-L337,0),"")</f>
        <v>0</v>
      </c>
      <c r="O337">
        <f>IFERROR(IF(Table1[[#This Row],[Type]]="IN",Table1[[#This Row],[C/D (LC)]],IF(Table1[[#This Row],[Type]]="CN",Table1[[#This Row],[C/D (LC)]],"")),"")</f>
        <v>6288.1</v>
      </c>
      <c r="P337" t="str">
        <f>VLOOKUP(Table1[[#This Row],[Cust '#]],ClientInfo!$A:$B,2,0)</f>
        <v>Client_04</v>
      </c>
    </row>
    <row r="338" spans="1:16">
      <c r="A338" t="s">
        <v>110</v>
      </c>
      <c r="B338" t="s">
        <v>10</v>
      </c>
      <c r="C338">
        <v>700002978</v>
      </c>
      <c r="D338" s="1">
        <v>45733</v>
      </c>
      <c r="E338">
        <v>-9927.7999999999993</v>
      </c>
      <c r="F338">
        <v>0</v>
      </c>
      <c r="G338">
        <v>700002978</v>
      </c>
      <c r="H338" s="1">
        <v>45733</v>
      </c>
      <c r="I338">
        <f>YEAR(Table1[[#This Row],[Posting Date]])</f>
        <v>2025</v>
      </c>
      <c r="J338">
        <f>MONTH(Table1[[#This Row],[Posting Date]])</f>
        <v>3</v>
      </c>
      <c r="K338" t="str">
        <f>IF(Table1[[#This Row],[Type]]="IN",VLOOKUP(Table1[[#This Row],[Cust '#]],ClientInfo!$A:$D,4,0),"")</f>
        <v/>
      </c>
      <c r="L338" s="1" t="str">
        <f>IF(K338="NET30",Table1[[#This Row],[Posting Date]]+30,IF(K338="NET15",Table1[[#This Row],[Posting Date]]+15,IF(K338="COD",Table1[[#This Row],[Posting Date]],"")))</f>
        <v/>
      </c>
      <c r="M338" s="4" t="str">
        <f>IFERROR(IF(Table1[[#This Row],[Type]]="IN",Table1[[#This Row],[RC Date]]-Table1[[#This Row],[Posting Date]],""),"")</f>
        <v/>
      </c>
      <c r="N338">
        <f>IFERROR(IF(Table1[[#This Row],[Balance Due (LC)]]&lt;&gt;0,$S$1-L338,0),"")</f>
        <v>0</v>
      </c>
      <c r="O338" t="str">
        <f>IFERROR(IF(Table1[[#This Row],[Type]]="IN",Table1[[#This Row],[C/D (LC)]],IF(Table1[[#This Row],[Type]]="CN",Table1[[#This Row],[C/D (LC)]],"")),"")</f>
        <v/>
      </c>
      <c r="P338" t="str">
        <f>VLOOKUP(Table1[[#This Row],[Cust '#]],ClientInfo!$A:$B,2,0)</f>
        <v>Client_04</v>
      </c>
    </row>
    <row r="339" spans="1:16">
      <c r="A339" t="s">
        <v>110</v>
      </c>
      <c r="B339" t="s">
        <v>12</v>
      </c>
      <c r="C339">
        <v>140022054</v>
      </c>
      <c r="D339" s="1">
        <v>45735</v>
      </c>
      <c r="E339">
        <v>967</v>
      </c>
      <c r="F339">
        <v>0</v>
      </c>
      <c r="G339">
        <v>700003103</v>
      </c>
      <c r="H339" s="1">
        <v>45748</v>
      </c>
      <c r="I339">
        <f>YEAR(Table1[[#This Row],[Posting Date]])</f>
        <v>2025</v>
      </c>
      <c r="J339">
        <f>MONTH(Table1[[#This Row],[Posting Date]])</f>
        <v>3</v>
      </c>
      <c r="K339" t="str">
        <f>IF(Table1[[#This Row],[Type]]="IN",VLOOKUP(Table1[[#This Row],[Cust '#]],ClientInfo!$A:$D,4,0),"")</f>
        <v>NET30</v>
      </c>
      <c r="L339" s="1">
        <f>IF(K339="NET30",Table1[[#This Row],[Posting Date]]+30,IF(K339="NET15",Table1[[#This Row],[Posting Date]]+15,IF(K339="COD",Table1[[#This Row],[Posting Date]],"")))</f>
        <v>45765</v>
      </c>
      <c r="M339" s="4">
        <f>IFERROR(IF(Table1[[#This Row],[Type]]="IN",Table1[[#This Row],[RC Date]]-Table1[[#This Row],[Posting Date]],""),"")</f>
        <v>13</v>
      </c>
      <c r="N339">
        <f>IFERROR(IF(Table1[[#This Row],[Balance Due (LC)]]&lt;&gt;0,$S$1-L339,0),"")</f>
        <v>0</v>
      </c>
      <c r="O339">
        <f>IFERROR(IF(Table1[[#This Row],[Type]]="IN",Table1[[#This Row],[C/D (LC)]],IF(Table1[[#This Row],[Type]]="CN",Table1[[#This Row],[C/D (LC)]],"")),"")</f>
        <v>967</v>
      </c>
      <c r="P339" t="str">
        <f>VLOOKUP(Table1[[#This Row],[Cust '#]],ClientInfo!$A:$B,2,0)</f>
        <v>Client_04</v>
      </c>
    </row>
    <row r="340" spans="1:16">
      <c r="A340" t="s">
        <v>110</v>
      </c>
      <c r="B340" t="s">
        <v>10</v>
      </c>
      <c r="C340">
        <v>700003052</v>
      </c>
      <c r="D340" s="1">
        <v>45740</v>
      </c>
      <c r="E340">
        <v>-6288.1</v>
      </c>
      <c r="F340">
        <v>0</v>
      </c>
      <c r="G340">
        <v>700003052</v>
      </c>
      <c r="H340" s="1">
        <v>45740</v>
      </c>
      <c r="I340">
        <f>YEAR(Table1[[#This Row],[Posting Date]])</f>
        <v>2025</v>
      </c>
      <c r="J340">
        <f>MONTH(Table1[[#This Row],[Posting Date]])</f>
        <v>3</v>
      </c>
      <c r="K340" t="str">
        <f>IF(Table1[[#This Row],[Type]]="IN",VLOOKUP(Table1[[#This Row],[Cust '#]],ClientInfo!$A:$D,4,0),"")</f>
        <v/>
      </c>
      <c r="L340" s="1" t="str">
        <f>IF(K340="NET30",Table1[[#This Row],[Posting Date]]+30,IF(K340="NET15",Table1[[#This Row],[Posting Date]]+15,IF(K340="COD",Table1[[#This Row],[Posting Date]],"")))</f>
        <v/>
      </c>
      <c r="M340" s="4" t="str">
        <f>IFERROR(IF(Table1[[#This Row],[Type]]="IN",Table1[[#This Row],[RC Date]]-Table1[[#This Row],[Posting Date]],""),"")</f>
        <v/>
      </c>
      <c r="N340">
        <f>IFERROR(IF(Table1[[#This Row],[Balance Due (LC)]]&lt;&gt;0,$S$1-L340,0),"")</f>
        <v>0</v>
      </c>
      <c r="O340" t="str">
        <f>IFERROR(IF(Table1[[#This Row],[Type]]="IN",Table1[[#This Row],[C/D (LC)]],IF(Table1[[#This Row],[Type]]="CN",Table1[[#This Row],[C/D (LC)]],"")),"")</f>
        <v/>
      </c>
      <c r="P340" t="str">
        <f>VLOOKUP(Table1[[#This Row],[Cust '#]],ClientInfo!$A:$B,2,0)</f>
        <v>Client_04</v>
      </c>
    </row>
    <row r="341" spans="1:16">
      <c r="A341" t="s">
        <v>110</v>
      </c>
      <c r="B341" t="s">
        <v>12</v>
      </c>
      <c r="C341">
        <v>140022341</v>
      </c>
      <c r="D341" s="1">
        <v>45742</v>
      </c>
      <c r="E341">
        <v>7032.9</v>
      </c>
      <c r="F341">
        <v>0</v>
      </c>
      <c r="G341">
        <v>700003165</v>
      </c>
      <c r="H341" s="1">
        <v>45754</v>
      </c>
      <c r="I341">
        <f>YEAR(Table1[[#This Row],[Posting Date]])</f>
        <v>2025</v>
      </c>
      <c r="J341">
        <f>MONTH(Table1[[#This Row],[Posting Date]])</f>
        <v>3</v>
      </c>
      <c r="K341" t="str">
        <f>IF(Table1[[#This Row],[Type]]="IN",VLOOKUP(Table1[[#This Row],[Cust '#]],ClientInfo!$A:$D,4,0),"")</f>
        <v>NET30</v>
      </c>
      <c r="L341" s="1">
        <f>IF(K341="NET30",Table1[[#This Row],[Posting Date]]+30,IF(K341="NET15",Table1[[#This Row],[Posting Date]]+15,IF(K341="COD",Table1[[#This Row],[Posting Date]],"")))</f>
        <v>45772</v>
      </c>
      <c r="M341" s="4">
        <f>IFERROR(IF(Table1[[#This Row],[Type]]="IN",Table1[[#This Row],[RC Date]]-Table1[[#This Row],[Posting Date]],""),"")</f>
        <v>12</v>
      </c>
      <c r="N341">
        <f>IFERROR(IF(Table1[[#This Row],[Balance Due (LC)]]&lt;&gt;0,$S$1-L341,0),"")</f>
        <v>0</v>
      </c>
      <c r="O341">
        <f>IFERROR(IF(Table1[[#This Row],[Type]]="IN",Table1[[#This Row],[C/D (LC)]],IF(Table1[[#This Row],[Type]]="CN",Table1[[#This Row],[C/D (LC)]],"")),"")</f>
        <v>7032.9</v>
      </c>
      <c r="P341" t="str">
        <f>VLOOKUP(Table1[[#This Row],[Cust '#]],ClientInfo!$A:$B,2,0)</f>
        <v>Client_04</v>
      </c>
    </row>
    <row r="342" spans="1:16">
      <c r="A342" t="s">
        <v>110</v>
      </c>
      <c r="B342" t="s">
        <v>12</v>
      </c>
      <c r="C342">
        <v>140022342</v>
      </c>
      <c r="D342" s="1">
        <v>45742</v>
      </c>
      <c r="E342">
        <v>122</v>
      </c>
      <c r="F342">
        <v>0</v>
      </c>
      <c r="G342">
        <v>700003165</v>
      </c>
      <c r="H342" s="1">
        <v>45754</v>
      </c>
      <c r="I342">
        <f>YEAR(Table1[[#This Row],[Posting Date]])</f>
        <v>2025</v>
      </c>
      <c r="J342">
        <f>MONTH(Table1[[#This Row],[Posting Date]])</f>
        <v>3</v>
      </c>
      <c r="K342" t="str">
        <f>IF(Table1[[#This Row],[Type]]="IN",VLOOKUP(Table1[[#This Row],[Cust '#]],ClientInfo!$A:$D,4,0),"")</f>
        <v>NET30</v>
      </c>
      <c r="L342" s="1">
        <f>IF(K342="NET30",Table1[[#This Row],[Posting Date]]+30,IF(K342="NET15",Table1[[#This Row],[Posting Date]]+15,IF(K342="COD",Table1[[#This Row],[Posting Date]],"")))</f>
        <v>45772</v>
      </c>
      <c r="M342" s="4">
        <f>IFERROR(IF(Table1[[#This Row],[Type]]="IN",Table1[[#This Row],[RC Date]]-Table1[[#This Row],[Posting Date]],""),"")</f>
        <v>12</v>
      </c>
      <c r="N342">
        <f>IFERROR(IF(Table1[[#This Row],[Balance Due (LC)]]&lt;&gt;0,$S$1-L342,0),"")</f>
        <v>0</v>
      </c>
      <c r="O342">
        <f>IFERROR(IF(Table1[[#This Row],[Type]]="IN",Table1[[#This Row],[C/D (LC)]],IF(Table1[[#This Row],[Type]]="CN",Table1[[#This Row],[C/D (LC)]],"")),"")</f>
        <v>122</v>
      </c>
      <c r="P342" t="str">
        <f>VLOOKUP(Table1[[#This Row],[Cust '#]],ClientInfo!$A:$B,2,0)</f>
        <v>Client_04</v>
      </c>
    </row>
    <row r="343" spans="1:16">
      <c r="A343" t="s">
        <v>110</v>
      </c>
      <c r="B343" t="s">
        <v>12</v>
      </c>
      <c r="C343">
        <v>140022643</v>
      </c>
      <c r="D343" s="1">
        <v>45748</v>
      </c>
      <c r="E343">
        <v>1598.4</v>
      </c>
      <c r="F343">
        <v>0</v>
      </c>
      <c r="G343">
        <v>700003235</v>
      </c>
      <c r="H343" s="1">
        <v>45761</v>
      </c>
      <c r="I343">
        <f>YEAR(Table1[[#This Row],[Posting Date]])</f>
        <v>2025</v>
      </c>
      <c r="J343">
        <f>MONTH(Table1[[#This Row],[Posting Date]])</f>
        <v>4</v>
      </c>
      <c r="K343" t="str">
        <f>IF(Table1[[#This Row],[Type]]="IN",VLOOKUP(Table1[[#This Row],[Cust '#]],ClientInfo!$A:$D,4,0),"")</f>
        <v>NET30</v>
      </c>
      <c r="L343" s="1">
        <f>IF(K343="NET30",Table1[[#This Row],[Posting Date]]+30,IF(K343="NET15",Table1[[#This Row],[Posting Date]]+15,IF(K343="COD",Table1[[#This Row],[Posting Date]],"")))</f>
        <v>45778</v>
      </c>
      <c r="M343" s="4">
        <f>IFERROR(IF(Table1[[#This Row],[Type]]="IN",Table1[[#This Row],[RC Date]]-Table1[[#This Row],[Posting Date]],""),"")</f>
        <v>13</v>
      </c>
      <c r="N343">
        <f>IFERROR(IF(Table1[[#This Row],[Balance Due (LC)]]&lt;&gt;0,$S$1-L343,0),"")</f>
        <v>0</v>
      </c>
      <c r="O343">
        <f>IFERROR(IF(Table1[[#This Row],[Type]]="IN",Table1[[#This Row],[C/D (LC)]],IF(Table1[[#This Row],[Type]]="CN",Table1[[#This Row],[C/D (LC)]],"")),"")</f>
        <v>1598.4</v>
      </c>
      <c r="P343" t="str">
        <f>VLOOKUP(Table1[[#This Row],[Cust '#]],ClientInfo!$A:$B,2,0)</f>
        <v>Client_04</v>
      </c>
    </row>
    <row r="344" spans="1:16">
      <c r="A344" t="s">
        <v>110</v>
      </c>
      <c r="B344" t="s">
        <v>10</v>
      </c>
      <c r="C344">
        <v>700003103</v>
      </c>
      <c r="D344" s="1">
        <v>45748</v>
      </c>
      <c r="E344">
        <v>-967</v>
      </c>
      <c r="F344">
        <v>0</v>
      </c>
      <c r="G344">
        <v>700003103</v>
      </c>
      <c r="H344" s="1">
        <v>45748</v>
      </c>
      <c r="I344">
        <f>YEAR(Table1[[#This Row],[Posting Date]])</f>
        <v>2025</v>
      </c>
      <c r="J344">
        <f>MONTH(Table1[[#This Row],[Posting Date]])</f>
        <v>4</v>
      </c>
      <c r="K344" t="str">
        <f>IF(Table1[[#This Row],[Type]]="IN",VLOOKUP(Table1[[#This Row],[Cust '#]],ClientInfo!$A:$D,4,0),"")</f>
        <v/>
      </c>
      <c r="L344" s="1" t="str">
        <f>IF(K344="NET30",Table1[[#This Row],[Posting Date]]+30,IF(K344="NET15",Table1[[#This Row],[Posting Date]]+15,IF(K344="COD",Table1[[#This Row],[Posting Date]],"")))</f>
        <v/>
      </c>
      <c r="M344" s="4" t="str">
        <f>IFERROR(IF(Table1[[#This Row],[Type]]="IN",Table1[[#This Row],[RC Date]]-Table1[[#This Row],[Posting Date]],""),"")</f>
        <v/>
      </c>
      <c r="N344">
        <f>IFERROR(IF(Table1[[#This Row],[Balance Due (LC)]]&lt;&gt;0,$S$1-L344,0),"")</f>
        <v>0</v>
      </c>
      <c r="O344" t="str">
        <f>IFERROR(IF(Table1[[#This Row],[Type]]="IN",Table1[[#This Row],[C/D (LC)]],IF(Table1[[#This Row],[Type]]="CN",Table1[[#This Row],[C/D (LC)]],"")),"")</f>
        <v/>
      </c>
      <c r="P344" t="str">
        <f>VLOOKUP(Table1[[#This Row],[Cust '#]],ClientInfo!$A:$B,2,0)</f>
        <v>Client_04</v>
      </c>
    </row>
    <row r="345" spans="1:16">
      <c r="A345" t="s">
        <v>110</v>
      </c>
      <c r="B345" t="s">
        <v>12</v>
      </c>
      <c r="C345">
        <v>140022677</v>
      </c>
      <c r="D345" s="1">
        <v>45749</v>
      </c>
      <c r="E345">
        <v>6961.9</v>
      </c>
      <c r="F345">
        <v>0</v>
      </c>
      <c r="G345">
        <v>700003235</v>
      </c>
      <c r="H345" s="1">
        <v>45761</v>
      </c>
      <c r="I345">
        <f>YEAR(Table1[[#This Row],[Posting Date]])</f>
        <v>2025</v>
      </c>
      <c r="J345">
        <f>MONTH(Table1[[#This Row],[Posting Date]])</f>
        <v>4</v>
      </c>
      <c r="K345" t="str">
        <f>IF(Table1[[#This Row],[Type]]="IN",VLOOKUP(Table1[[#This Row],[Cust '#]],ClientInfo!$A:$D,4,0),"")</f>
        <v>NET30</v>
      </c>
      <c r="L345" s="1">
        <f>IF(K345="NET30",Table1[[#This Row],[Posting Date]]+30,IF(K345="NET15",Table1[[#This Row],[Posting Date]]+15,IF(K345="COD",Table1[[#This Row],[Posting Date]],"")))</f>
        <v>45779</v>
      </c>
      <c r="M345" s="4">
        <f>IFERROR(IF(Table1[[#This Row],[Type]]="IN",Table1[[#This Row],[RC Date]]-Table1[[#This Row],[Posting Date]],""),"")</f>
        <v>12</v>
      </c>
      <c r="N345">
        <f>IFERROR(IF(Table1[[#This Row],[Balance Due (LC)]]&lt;&gt;0,$S$1-L345,0),"")</f>
        <v>0</v>
      </c>
      <c r="O345">
        <f>IFERROR(IF(Table1[[#This Row],[Type]]="IN",Table1[[#This Row],[C/D (LC)]],IF(Table1[[#This Row],[Type]]="CN",Table1[[#This Row],[C/D (LC)]],"")),"")</f>
        <v>6961.9</v>
      </c>
      <c r="P345" t="str">
        <f>VLOOKUP(Table1[[#This Row],[Cust '#]],ClientInfo!$A:$B,2,0)</f>
        <v>Client_04</v>
      </c>
    </row>
    <row r="346" spans="1:16">
      <c r="A346" t="s">
        <v>110</v>
      </c>
      <c r="B346" t="s">
        <v>10</v>
      </c>
      <c r="C346">
        <v>700003165</v>
      </c>
      <c r="D346" s="1">
        <v>45754</v>
      </c>
      <c r="E346">
        <v>-7154.9</v>
      </c>
      <c r="F346">
        <v>0</v>
      </c>
      <c r="G346">
        <v>700003165</v>
      </c>
      <c r="H346" s="1">
        <v>45754</v>
      </c>
      <c r="I346">
        <f>YEAR(Table1[[#This Row],[Posting Date]])</f>
        <v>2025</v>
      </c>
      <c r="J346">
        <f>MONTH(Table1[[#This Row],[Posting Date]])</f>
        <v>4</v>
      </c>
      <c r="K346" t="str">
        <f>IF(Table1[[#This Row],[Type]]="IN",VLOOKUP(Table1[[#This Row],[Cust '#]],ClientInfo!$A:$D,4,0),"")</f>
        <v/>
      </c>
      <c r="L346" s="1" t="str">
        <f>IF(K346="NET30",Table1[[#This Row],[Posting Date]]+30,IF(K346="NET15",Table1[[#This Row],[Posting Date]]+15,IF(K346="COD",Table1[[#This Row],[Posting Date]],"")))</f>
        <v/>
      </c>
      <c r="M346" s="4" t="str">
        <f>IFERROR(IF(Table1[[#This Row],[Type]]="IN",Table1[[#This Row],[RC Date]]-Table1[[#This Row],[Posting Date]],""),"")</f>
        <v/>
      </c>
      <c r="N346">
        <f>IFERROR(IF(Table1[[#This Row],[Balance Due (LC)]]&lt;&gt;0,$S$1-L346,0),"")</f>
        <v>0</v>
      </c>
      <c r="O346" t="str">
        <f>IFERROR(IF(Table1[[#This Row],[Type]]="IN",Table1[[#This Row],[C/D (LC)]],IF(Table1[[#This Row],[Type]]="CN",Table1[[#This Row],[C/D (LC)]],"")),"")</f>
        <v/>
      </c>
      <c r="P346" t="str">
        <f>VLOOKUP(Table1[[#This Row],[Cust '#]],ClientInfo!$A:$B,2,0)</f>
        <v>Client_04</v>
      </c>
    </row>
    <row r="347" spans="1:16">
      <c r="A347" t="s">
        <v>110</v>
      </c>
      <c r="B347" t="s">
        <v>12</v>
      </c>
      <c r="C347">
        <v>140022982</v>
      </c>
      <c r="D347" s="1">
        <v>45756</v>
      </c>
      <c r="E347">
        <v>6876.9</v>
      </c>
      <c r="F347">
        <v>0</v>
      </c>
      <c r="G347">
        <v>700003281</v>
      </c>
      <c r="H347" s="1">
        <v>45765</v>
      </c>
      <c r="I347">
        <f>YEAR(Table1[[#This Row],[Posting Date]])</f>
        <v>2025</v>
      </c>
      <c r="J347">
        <f>MONTH(Table1[[#This Row],[Posting Date]])</f>
        <v>4</v>
      </c>
      <c r="K347" t="str">
        <f>IF(Table1[[#This Row],[Type]]="IN",VLOOKUP(Table1[[#This Row],[Cust '#]],ClientInfo!$A:$D,4,0),"")</f>
        <v>NET30</v>
      </c>
      <c r="L347" s="1">
        <f>IF(K347="NET30",Table1[[#This Row],[Posting Date]]+30,IF(K347="NET15",Table1[[#This Row],[Posting Date]]+15,IF(K347="COD",Table1[[#This Row],[Posting Date]],"")))</f>
        <v>45786</v>
      </c>
      <c r="M347" s="4">
        <f>IFERROR(IF(Table1[[#This Row],[Type]]="IN",Table1[[#This Row],[RC Date]]-Table1[[#This Row],[Posting Date]],""),"")</f>
        <v>9</v>
      </c>
      <c r="N347">
        <f>IFERROR(IF(Table1[[#This Row],[Balance Due (LC)]]&lt;&gt;0,$S$1-L347,0),"")</f>
        <v>0</v>
      </c>
      <c r="O347">
        <f>IFERROR(IF(Table1[[#This Row],[Type]]="IN",Table1[[#This Row],[C/D (LC)]],IF(Table1[[#This Row],[Type]]="CN",Table1[[#This Row],[C/D (LC)]],"")),"")</f>
        <v>6876.9</v>
      </c>
      <c r="P347" t="str">
        <f>VLOOKUP(Table1[[#This Row],[Cust '#]],ClientInfo!$A:$B,2,0)</f>
        <v>Client_04</v>
      </c>
    </row>
    <row r="348" spans="1:16">
      <c r="A348" t="s">
        <v>110</v>
      </c>
      <c r="B348" t="s">
        <v>10</v>
      </c>
      <c r="C348">
        <v>700003235</v>
      </c>
      <c r="D348" s="1">
        <v>45761</v>
      </c>
      <c r="E348">
        <v>-8560.2999999999993</v>
      </c>
      <c r="F348">
        <v>0</v>
      </c>
      <c r="G348">
        <v>700003235</v>
      </c>
      <c r="H348" s="1">
        <v>45761</v>
      </c>
      <c r="I348">
        <f>YEAR(Table1[[#This Row],[Posting Date]])</f>
        <v>2025</v>
      </c>
      <c r="J348">
        <f>MONTH(Table1[[#This Row],[Posting Date]])</f>
        <v>4</v>
      </c>
      <c r="K348" t="str">
        <f>IF(Table1[[#This Row],[Type]]="IN",VLOOKUP(Table1[[#This Row],[Cust '#]],ClientInfo!$A:$D,4,0),"")</f>
        <v/>
      </c>
      <c r="L348" s="1" t="str">
        <f>IF(K348="NET30",Table1[[#This Row],[Posting Date]]+30,IF(K348="NET15",Table1[[#This Row],[Posting Date]]+15,IF(K348="COD",Table1[[#This Row],[Posting Date]],"")))</f>
        <v/>
      </c>
      <c r="M348" s="4" t="str">
        <f>IFERROR(IF(Table1[[#This Row],[Type]]="IN",Table1[[#This Row],[RC Date]]-Table1[[#This Row],[Posting Date]],""),"")</f>
        <v/>
      </c>
      <c r="N348">
        <f>IFERROR(IF(Table1[[#This Row],[Balance Due (LC)]]&lt;&gt;0,$S$1-L348,0),"")</f>
        <v>0</v>
      </c>
      <c r="O348" t="str">
        <f>IFERROR(IF(Table1[[#This Row],[Type]]="IN",Table1[[#This Row],[C/D (LC)]],IF(Table1[[#This Row],[Type]]="CN",Table1[[#This Row],[C/D (LC)]],"")),"")</f>
        <v/>
      </c>
      <c r="P348" t="str">
        <f>VLOOKUP(Table1[[#This Row],[Cust '#]],ClientInfo!$A:$B,2,0)</f>
        <v>Client_04</v>
      </c>
    </row>
    <row r="349" spans="1:16">
      <c r="A349" t="s">
        <v>110</v>
      </c>
      <c r="B349" t="s">
        <v>12</v>
      </c>
      <c r="C349">
        <v>140023275</v>
      </c>
      <c r="D349" s="1">
        <v>45763</v>
      </c>
      <c r="E349">
        <v>2838.8</v>
      </c>
      <c r="F349">
        <v>0</v>
      </c>
      <c r="G349">
        <v>700003331</v>
      </c>
      <c r="H349" s="1">
        <v>45775</v>
      </c>
      <c r="I349">
        <f>YEAR(Table1[[#This Row],[Posting Date]])</f>
        <v>2025</v>
      </c>
      <c r="J349">
        <f>MONTH(Table1[[#This Row],[Posting Date]])</f>
        <v>4</v>
      </c>
      <c r="K349" t="str">
        <f>IF(Table1[[#This Row],[Type]]="IN",VLOOKUP(Table1[[#This Row],[Cust '#]],ClientInfo!$A:$D,4,0),"")</f>
        <v>NET30</v>
      </c>
      <c r="L349" s="1">
        <f>IF(K349="NET30",Table1[[#This Row],[Posting Date]]+30,IF(K349="NET15",Table1[[#This Row],[Posting Date]]+15,IF(K349="COD",Table1[[#This Row],[Posting Date]],"")))</f>
        <v>45793</v>
      </c>
      <c r="M349" s="4">
        <f>IFERROR(IF(Table1[[#This Row],[Type]]="IN",Table1[[#This Row],[RC Date]]-Table1[[#This Row],[Posting Date]],""),"")</f>
        <v>12</v>
      </c>
      <c r="N349">
        <f>IFERROR(IF(Table1[[#This Row],[Balance Due (LC)]]&lt;&gt;0,$S$1-L349,0),"")</f>
        <v>0</v>
      </c>
      <c r="O349">
        <f>IFERROR(IF(Table1[[#This Row],[Type]]="IN",Table1[[#This Row],[C/D (LC)]],IF(Table1[[#This Row],[Type]]="CN",Table1[[#This Row],[C/D (LC)]],"")),"")</f>
        <v>2838.8</v>
      </c>
      <c r="P349" t="str">
        <f>VLOOKUP(Table1[[#This Row],[Cust '#]],ClientInfo!$A:$B,2,0)</f>
        <v>Client_04</v>
      </c>
    </row>
    <row r="350" spans="1:16">
      <c r="A350" t="s">
        <v>110</v>
      </c>
      <c r="B350" t="s">
        <v>12</v>
      </c>
      <c r="C350">
        <v>140023276</v>
      </c>
      <c r="D350" s="1">
        <v>45763</v>
      </c>
      <c r="E350">
        <v>260</v>
      </c>
      <c r="F350">
        <v>0</v>
      </c>
      <c r="G350">
        <v>700003331</v>
      </c>
      <c r="H350" s="1">
        <v>45775</v>
      </c>
      <c r="I350">
        <f>YEAR(Table1[[#This Row],[Posting Date]])</f>
        <v>2025</v>
      </c>
      <c r="J350">
        <f>MONTH(Table1[[#This Row],[Posting Date]])</f>
        <v>4</v>
      </c>
      <c r="K350" t="str">
        <f>IF(Table1[[#This Row],[Type]]="IN",VLOOKUP(Table1[[#This Row],[Cust '#]],ClientInfo!$A:$D,4,0),"")</f>
        <v>NET30</v>
      </c>
      <c r="L350" s="1">
        <f>IF(K350="NET30",Table1[[#This Row],[Posting Date]]+30,IF(K350="NET15",Table1[[#This Row],[Posting Date]]+15,IF(K350="COD",Table1[[#This Row],[Posting Date]],"")))</f>
        <v>45793</v>
      </c>
      <c r="M350" s="4">
        <f>IFERROR(IF(Table1[[#This Row],[Type]]="IN",Table1[[#This Row],[RC Date]]-Table1[[#This Row],[Posting Date]],""),"")</f>
        <v>12</v>
      </c>
      <c r="N350">
        <f>IFERROR(IF(Table1[[#This Row],[Balance Due (LC)]]&lt;&gt;0,$S$1-L350,0),"")</f>
        <v>0</v>
      </c>
      <c r="O350">
        <f>IFERROR(IF(Table1[[#This Row],[Type]]="IN",Table1[[#This Row],[C/D (LC)]],IF(Table1[[#This Row],[Type]]="CN",Table1[[#This Row],[C/D (LC)]],"")),"")</f>
        <v>260</v>
      </c>
      <c r="P350" t="str">
        <f>VLOOKUP(Table1[[#This Row],[Cust '#]],ClientInfo!$A:$B,2,0)</f>
        <v>Client_04</v>
      </c>
    </row>
    <row r="351" spans="1:16">
      <c r="A351" t="s">
        <v>110</v>
      </c>
      <c r="B351" t="s">
        <v>10</v>
      </c>
      <c r="C351">
        <v>700003281</v>
      </c>
      <c r="D351" s="1">
        <v>45765</v>
      </c>
      <c r="E351">
        <v>-6876.9</v>
      </c>
      <c r="F351">
        <v>0</v>
      </c>
      <c r="G351">
        <v>700003281</v>
      </c>
      <c r="H351" s="1">
        <v>45765</v>
      </c>
      <c r="I351">
        <f>YEAR(Table1[[#This Row],[Posting Date]])</f>
        <v>2025</v>
      </c>
      <c r="J351">
        <f>MONTH(Table1[[#This Row],[Posting Date]])</f>
        <v>4</v>
      </c>
      <c r="K351" t="str">
        <f>IF(Table1[[#This Row],[Type]]="IN",VLOOKUP(Table1[[#This Row],[Cust '#]],ClientInfo!$A:$D,4,0),"")</f>
        <v/>
      </c>
      <c r="L351" s="1" t="str">
        <f>IF(K351="NET30",Table1[[#This Row],[Posting Date]]+30,IF(K351="NET15",Table1[[#This Row],[Posting Date]]+15,IF(K351="COD",Table1[[#This Row],[Posting Date]],"")))</f>
        <v/>
      </c>
      <c r="M351" s="4" t="str">
        <f>IFERROR(IF(Table1[[#This Row],[Type]]="IN",Table1[[#This Row],[RC Date]]-Table1[[#This Row],[Posting Date]],""),"")</f>
        <v/>
      </c>
      <c r="N351">
        <f>IFERROR(IF(Table1[[#This Row],[Balance Due (LC)]]&lt;&gt;0,$S$1-L351,0),"")</f>
        <v>0</v>
      </c>
      <c r="O351" t="str">
        <f>IFERROR(IF(Table1[[#This Row],[Type]]="IN",Table1[[#This Row],[C/D (LC)]],IF(Table1[[#This Row],[Type]]="CN",Table1[[#This Row],[C/D (LC)]],"")),"")</f>
        <v/>
      </c>
      <c r="P351" t="str">
        <f>VLOOKUP(Table1[[#This Row],[Cust '#]],ClientInfo!$A:$B,2,0)</f>
        <v>Client_04</v>
      </c>
    </row>
    <row r="352" spans="1:16">
      <c r="A352" t="s">
        <v>110</v>
      </c>
      <c r="B352" t="s">
        <v>12</v>
      </c>
      <c r="C352">
        <v>140023590</v>
      </c>
      <c r="D352" s="1">
        <v>45770</v>
      </c>
      <c r="E352">
        <v>4896.3</v>
      </c>
      <c r="F352">
        <v>0</v>
      </c>
      <c r="G352">
        <v>700003380</v>
      </c>
      <c r="H352" s="1">
        <v>45779</v>
      </c>
      <c r="I352">
        <f>YEAR(Table1[[#This Row],[Posting Date]])</f>
        <v>2025</v>
      </c>
      <c r="J352">
        <f>MONTH(Table1[[#This Row],[Posting Date]])</f>
        <v>4</v>
      </c>
      <c r="K352" t="str">
        <f>IF(Table1[[#This Row],[Type]]="IN",VLOOKUP(Table1[[#This Row],[Cust '#]],ClientInfo!$A:$D,4,0),"")</f>
        <v>NET30</v>
      </c>
      <c r="L352" s="1">
        <f>IF(K352="NET30",Table1[[#This Row],[Posting Date]]+30,IF(K352="NET15",Table1[[#This Row],[Posting Date]]+15,IF(K352="COD",Table1[[#This Row],[Posting Date]],"")))</f>
        <v>45800</v>
      </c>
      <c r="M352" s="4">
        <f>IFERROR(IF(Table1[[#This Row],[Type]]="IN",Table1[[#This Row],[RC Date]]-Table1[[#This Row],[Posting Date]],""),"")</f>
        <v>9</v>
      </c>
      <c r="N352">
        <f>IFERROR(IF(Table1[[#This Row],[Balance Due (LC)]]&lt;&gt;0,$S$1-L352,0),"")</f>
        <v>0</v>
      </c>
      <c r="O352">
        <f>IFERROR(IF(Table1[[#This Row],[Type]]="IN",Table1[[#This Row],[C/D (LC)]],IF(Table1[[#This Row],[Type]]="CN",Table1[[#This Row],[C/D (LC)]],"")),"")</f>
        <v>4896.3</v>
      </c>
      <c r="P352" t="str">
        <f>VLOOKUP(Table1[[#This Row],[Cust '#]],ClientInfo!$A:$B,2,0)</f>
        <v>Client_04</v>
      </c>
    </row>
    <row r="353" spans="1:16">
      <c r="A353" t="s">
        <v>110</v>
      </c>
      <c r="B353" t="s">
        <v>10</v>
      </c>
      <c r="C353">
        <v>700003331</v>
      </c>
      <c r="D353" s="1">
        <v>45775</v>
      </c>
      <c r="E353">
        <v>-3098.8</v>
      </c>
      <c r="F353">
        <v>0</v>
      </c>
      <c r="G353">
        <v>700003331</v>
      </c>
      <c r="H353" s="1">
        <v>45775</v>
      </c>
      <c r="I353">
        <f>YEAR(Table1[[#This Row],[Posting Date]])</f>
        <v>2025</v>
      </c>
      <c r="J353">
        <f>MONTH(Table1[[#This Row],[Posting Date]])</f>
        <v>4</v>
      </c>
      <c r="K353" t="str">
        <f>IF(Table1[[#This Row],[Type]]="IN",VLOOKUP(Table1[[#This Row],[Cust '#]],ClientInfo!$A:$D,4,0),"")</f>
        <v/>
      </c>
      <c r="L353" s="1" t="str">
        <f>IF(K353="NET30",Table1[[#This Row],[Posting Date]]+30,IF(K353="NET15",Table1[[#This Row],[Posting Date]]+15,IF(K353="COD",Table1[[#This Row],[Posting Date]],"")))</f>
        <v/>
      </c>
      <c r="M353" s="4" t="str">
        <f>IFERROR(IF(Table1[[#This Row],[Type]]="IN",Table1[[#This Row],[RC Date]]-Table1[[#This Row],[Posting Date]],""),"")</f>
        <v/>
      </c>
      <c r="N353">
        <f>IFERROR(IF(Table1[[#This Row],[Balance Due (LC)]]&lt;&gt;0,$S$1-L353,0),"")</f>
        <v>0</v>
      </c>
      <c r="O353" t="str">
        <f>IFERROR(IF(Table1[[#This Row],[Type]]="IN",Table1[[#This Row],[C/D (LC)]],IF(Table1[[#This Row],[Type]]="CN",Table1[[#This Row],[C/D (LC)]],"")),"")</f>
        <v/>
      </c>
      <c r="P353" t="str">
        <f>VLOOKUP(Table1[[#This Row],[Cust '#]],ClientInfo!$A:$B,2,0)</f>
        <v>Client_04</v>
      </c>
    </row>
    <row r="354" spans="1:16">
      <c r="A354" t="s">
        <v>110</v>
      </c>
      <c r="B354" t="s">
        <v>12</v>
      </c>
      <c r="C354">
        <v>140023877</v>
      </c>
      <c r="D354" s="1">
        <v>45777</v>
      </c>
      <c r="E354">
        <v>7968.8</v>
      </c>
      <c r="F354">
        <v>0</v>
      </c>
      <c r="G354">
        <v>700003419</v>
      </c>
      <c r="H354" s="1">
        <v>45786</v>
      </c>
      <c r="I354">
        <f>YEAR(Table1[[#This Row],[Posting Date]])</f>
        <v>2025</v>
      </c>
      <c r="J354">
        <f>MONTH(Table1[[#This Row],[Posting Date]])</f>
        <v>4</v>
      </c>
      <c r="K354" t="str">
        <f>IF(Table1[[#This Row],[Type]]="IN",VLOOKUP(Table1[[#This Row],[Cust '#]],ClientInfo!$A:$D,4,0),"")</f>
        <v>NET30</v>
      </c>
      <c r="L354" s="1">
        <f>IF(K354="NET30",Table1[[#This Row],[Posting Date]]+30,IF(K354="NET15",Table1[[#This Row],[Posting Date]]+15,IF(K354="COD",Table1[[#This Row],[Posting Date]],"")))</f>
        <v>45807</v>
      </c>
      <c r="M354" s="4">
        <f>IFERROR(IF(Table1[[#This Row],[Type]]="IN",Table1[[#This Row],[RC Date]]-Table1[[#This Row],[Posting Date]],""),"")</f>
        <v>9</v>
      </c>
      <c r="N354">
        <f>IFERROR(IF(Table1[[#This Row],[Balance Due (LC)]]&lt;&gt;0,$S$1-L354,0),"")</f>
        <v>0</v>
      </c>
      <c r="O354">
        <f>IFERROR(IF(Table1[[#This Row],[Type]]="IN",Table1[[#This Row],[C/D (LC)]],IF(Table1[[#This Row],[Type]]="CN",Table1[[#This Row],[C/D (LC)]],"")),"")</f>
        <v>7968.8</v>
      </c>
      <c r="P354" t="str">
        <f>VLOOKUP(Table1[[#This Row],[Cust '#]],ClientInfo!$A:$B,2,0)</f>
        <v>Client_04</v>
      </c>
    </row>
    <row r="355" spans="1:16">
      <c r="A355" t="s">
        <v>110</v>
      </c>
      <c r="B355" t="s">
        <v>10</v>
      </c>
      <c r="C355">
        <v>700003380</v>
      </c>
      <c r="D355" s="1">
        <v>45779</v>
      </c>
      <c r="E355">
        <v>-4896.3</v>
      </c>
      <c r="F355">
        <v>0</v>
      </c>
      <c r="G355">
        <v>700003380</v>
      </c>
      <c r="H355" s="1">
        <v>45779</v>
      </c>
      <c r="I355">
        <f>YEAR(Table1[[#This Row],[Posting Date]])</f>
        <v>2025</v>
      </c>
      <c r="J355">
        <f>MONTH(Table1[[#This Row],[Posting Date]])</f>
        <v>5</v>
      </c>
      <c r="K355" t="str">
        <f>IF(Table1[[#This Row],[Type]]="IN",VLOOKUP(Table1[[#This Row],[Cust '#]],ClientInfo!$A:$D,4,0),"")</f>
        <v/>
      </c>
      <c r="L355" s="1" t="str">
        <f>IF(K355="NET30",Table1[[#This Row],[Posting Date]]+30,IF(K355="NET15",Table1[[#This Row],[Posting Date]]+15,IF(K355="COD",Table1[[#This Row],[Posting Date]],"")))</f>
        <v/>
      </c>
      <c r="M355" s="4" t="str">
        <f>IFERROR(IF(Table1[[#This Row],[Type]]="IN",Table1[[#This Row],[RC Date]]-Table1[[#This Row],[Posting Date]],""),"")</f>
        <v/>
      </c>
      <c r="N355">
        <f>IFERROR(IF(Table1[[#This Row],[Balance Due (LC)]]&lt;&gt;0,$S$1-L355,0),"")</f>
        <v>0</v>
      </c>
      <c r="O355" t="str">
        <f>IFERROR(IF(Table1[[#This Row],[Type]]="IN",Table1[[#This Row],[C/D (LC)]],IF(Table1[[#This Row],[Type]]="CN",Table1[[#This Row],[C/D (LC)]],"")),"")</f>
        <v/>
      </c>
      <c r="P355" t="str">
        <f>VLOOKUP(Table1[[#This Row],[Cust '#]],ClientInfo!$A:$B,2,0)</f>
        <v>Client_04</v>
      </c>
    </row>
    <row r="356" spans="1:16">
      <c r="A356" t="s">
        <v>110</v>
      </c>
      <c r="B356" t="s">
        <v>12</v>
      </c>
      <c r="C356">
        <v>140024206</v>
      </c>
      <c r="D356" s="1">
        <v>45784</v>
      </c>
      <c r="E356">
        <v>3982.4</v>
      </c>
      <c r="F356">
        <v>0</v>
      </c>
      <c r="G356">
        <v>700003471</v>
      </c>
      <c r="H356" s="1">
        <v>45793</v>
      </c>
      <c r="I356">
        <f>YEAR(Table1[[#This Row],[Posting Date]])</f>
        <v>2025</v>
      </c>
      <c r="J356">
        <f>MONTH(Table1[[#This Row],[Posting Date]])</f>
        <v>5</v>
      </c>
      <c r="K356" t="str">
        <f>IF(Table1[[#This Row],[Type]]="IN",VLOOKUP(Table1[[#This Row],[Cust '#]],ClientInfo!$A:$D,4,0),"")</f>
        <v>NET30</v>
      </c>
      <c r="L356" s="1">
        <f>IF(K356="NET30",Table1[[#This Row],[Posting Date]]+30,IF(K356="NET15",Table1[[#This Row],[Posting Date]]+15,IF(K356="COD",Table1[[#This Row],[Posting Date]],"")))</f>
        <v>45814</v>
      </c>
      <c r="M356" s="4">
        <f>IFERROR(IF(Table1[[#This Row],[Type]]="IN",Table1[[#This Row],[RC Date]]-Table1[[#This Row],[Posting Date]],""),"")</f>
        <v>9</v>
      </c>
      <c r="N356">
        <f>IFERROR(IF(Table1[[#This Row],[Balance Due (LC)]]&lt;&gt;0,$S$1-L356,0),"")</f>
        <v>0</v>
      </c>
      <c r="O356">
        <f>IFERROR(IF(Table1[[#This Row],[Type]]="IN",Table1[[#This Row],[C/D (LC)]],IF(Table1[[#This Row],[Type]]="CN",Table1[[#This Row],[C/D (LC)]],"")),"")</f>
        <v>3982.4</v>
      </c>
      <c r="P356" t="str">
        <f>VLOOKUP(Table1[[#This Row],[Cust '#]],ClientInfo!$A:$B,2,0)</f>
        <v>Client_04</v>
      </c>
    </row>
    <row r="357" spans="1:16">
      <c r="A357" t="s">
        <v>110</v>
      </c>
      <c r="B357" t="s">
        <v>13</v>
      </c>
      <c r="C357">
        <v>150001104</v>
      </c>
      <c r="D357" s="1">
        <v>45784</v>
      </c>
      <c r="E357">
        <v>-15</v>
      </c>
      <c r="F357">
        <v>-15</v>
      </c>
      <c r="H357" s="1" t="s">
        <v>14</v>
      </c>
      <c r="I357">
        <f>YEAR(Table1[[#This Row],[Posting Date]])</f>
        <v>2025</v>
      </c>
      <c r="J357">
        <f>MONTH(Table1[[#This Row],[Posting Date]])</f>
        <v>5</v>
      </c>
      <c r="K357" t="str">
        <f>IF(Table1[[#This Row],[Type]]="IN",VLOOKUP(Table1[[#This Row],[Cust '#]],ClientInfo!$A:$D,4,0),"")</f>
        <v/>
      </c>
      <c r="L357" s="1" t="str">
        <f>IF(K357="NET30",Table1[[#This Row],[Posting Date]]+30,IF(K357="NET15",Table1[[#This Row],[Posting Date]]+15,IF(K357="COD",Table1[[#This Row],[Posting Date]],"")))</f>
        <v/>
      </c>
      <c r="M357" s="4" t="str">
        <f>IFERROR(IF(Table1[[#This Row],[Type]]="IN",Table1[[#This Row],[RC Date]]-Table1[[#This Row],[Posting Date]],""),"")</f>
        <v/>
      </c>
      <c r="N357" t="str">
        <f>IFERROR(IF(Table1[[#This Row],[Balance Due (LC)]]&lt;&gt;0,$S$1-L357,0),"")</f>
        <v/>
      </c>
      <c r="O357">
        <f>IFERROR(IF(Table1[[#This Row],[Type]]="IN",Table1[[#This Row],[C/D (LC)]],IF(Table1[[#This Row],[Type]]="CN",Table1[[#This Row],[C/D (LC)]],"")),"")</f>
        <v>-15</v>
      </c>
      <c r="P357" t="str">
        <f>VLOOKUP(Table1[[#This Row],[Cust '#]],ClientInfo!$A:$B,2,0)</f>
        <v>Client_04</v>
      </c>
    </row>
    <row r="358" spans="1:16">
      <c r="A358" t="s">
        <v>110</v>
      </c>
      <c r="B358" t="s">
        <v>12</v>
      </c>
      <c r="C358">
        <v>140024353</v>
      </c>
      <c r="D358" s="1">
        <v>45786</v>
      </c>
      <c r="E358">
        <v>660</v>
      </c>
      <c r="F358">
        <v>0</v>
      </c>
      <c r="G358">
        <v>700003471</v>
      </c>
      <c r="H358" s="1">
        <v>45793</v>
      </c>
      <c r="I358">
        <f>YEAR(Table1[[#This Row],[Posting Date]])</f>
        <v>2025</v>
      </c>
      <c r="J358">
        <f>MONTH(Table1[[#This Row],[Posting Date]])</f>
        <v>5</v>
      </c>
      <c r="K358" t="str">
        <f>IF(Table1[[#This Row],[Type]]="IN",VLOOKUP(Table1[[#This Row],[Cust '#]],ClientInfo!$A:$D,4,0),"")</f>
        <v>NET30</v>
      </c>
      <c r="L358" s="1">
        <f>IF(K358="NET30",Table1[[#This Row],[Posting Date]]+30,IF(K358="NET15",Table1[[#This Row],[Posting Date]]+15,IF(K358="COD",Table1[[#This Row],[Posting Date]],"")))</f>
        <v>45816</v>
      </c>
      <c r="M358" s="4">
        <f>IFERROR(IF(Table1[[#This Row],[Type]]="IN",Table1[[#This Row],[RC Date]]-Table1[[#This Row],[Posting Date]],""),"")</f>
        <v>7</v>
      </c>
      <c r="N358">
        <f>IFERROR(IF(Table1[[#This Row],[Balance Due (LC)]]&lt;&gt;0,$S$1-L358,0),"")</f>
        <v>0</v>
      </c>
      <c r="O358">
        <f>IFERROR(IF(Table1[[#This Row],[Type]]="IN",Table1[[#This Row],[C/D (LC)]],IF(Table1[[#This Row],[Type]]="CN",Table1[[#This Row],[C/D (LC)]],"")),"")</f>
        <v>660</v>
      </c>
      <c r="P358" t="str">
        <f>VLOOKUP(Table1[[#This Row],[Cust '#]],ClientInfo!$A:$B,2,0)</f>
        <v>Client_04</v>
      </c>
    </row>
    <row r="359" spans="1:16">
      <c r="A359" t="s">
        <v>110</v>
      </c>
      <c r="B359" t="s">
        <v>10</v>
      </c>
      <c r="C359">
        <v>700003419</v>
      </c>
      <c r="D359" s="1">
        <v>45786</v>
      </c>
      <c r="E359">
        <v>-7968.8</v>
      </c>
      <c r="F359">
        <v>0</v>
      </c>
      <c r="G359">
        <v>700003419</v>
      </c>
      <c r="H359" s="1">
        <v>45786</v>
      </c>
      <c r="I359">
        <f>YEAR(Table1[[#This Row],[Posting Date]])</f>
        <v>2025</v>
      </c>
      <c r="J359">
        <f>MONTH(Table1[[#This Row],[Posting Date]])</f>
        <v>5</v>
      </c>
      <c r="K359" t="str">
        <f>IF(Table1[[#This Row],[Type]]="IN",VLOOKUP(Table1[[#This Row],[Cust '#]],ClientInfo!$A:$D,4,0),"")</f>
        <v/>
      </c>
      <c r="L359" s="1" t="str">
        <f>IF(K359="NET30",Table1[[#This Row],[Posting Date]]+30,IF(K359="NET15",Table1[[#This Row],[Posting Date]]+15,IF(K359="COD",Table1[[#This Row],[Posting Date]],"")))</f>
        <v/>
      </c>
      <c r="M359" s="4" t="str">
        <f>IFERROR(IF(Table1[[#This Row],[Type]]="IN",Table1[[#This Row],[RC Date]]-Table1[[#This Row],[Posting Date]],""),"")</f>
        <v/>
      </c>
      <c r="N359">
        <f>IFERROR(IF(Table1[[#This Row],[Balance Due (LC)]]&lt;&gt;0,$S$1-L359,0),"")</f>
        <v>0</v>
      </c>
      <c r="O359" t="str">
        <f>IFERROR(IF(Table1[[#This Row],[Type]]="IN",Table1[[#This Row],[C/D (LC)]],IF(Table1[[#This Row],[Type]]="CN",Table1[[#This Row],[C/D (LC)]],"")),"")</f>
        <v/>
      </c>
      <c r="P359" t="str">
        <f>VLOOKUP(Table1[[#This Row],[Cust '#]],ClientInfo!$A:$B,2,0)</f>
        <v>Client_04</v>
      </c>
    </row>
    <row r="360" spans="1:16">
      <c r="A360" t="s">
        <v>110</v>
      </c>
      <c r="B360" t="s">
        <v>12</v>
      </c>
      <c r="C360">
        <v>140024496</v>
      </c>
      <c r="D360" s="1">
        <v>45791</v>
      </c>
      <c r="E360">
        <v>8034.85</v>
      </c>
      <c r="F360">
        <v>0</v>
      </c>
      <c r="G360">
        <v>140024501</v>
      </c>
      <c r="H360" s="1">
        <v>45791</v>
      </c>
      <c r="I360">
        <f>YEAR(Table1[[#This Row],[Posting Date]])</f>
        <v>2025</v>
      </c>
      <c r="J360">
        <f>MONTH(Table1[[#This Row],[Posting Date]])</f>
        <v>5</v>
      </c>
      <c r="K360" t="str">
        <f>IF(Table1[[#This Row],[Type]]="IN",VLOOKUP(Table1[[#This Row],[Cust '#]],ClientInfo!$A:$D,4,0),"")</f>
        <v>NET30</v>
      </c>
      <c r="L360" s="1">
        <f>IF(K360="NET30",Table1[[#This Row],[Posting Date]]+30,IF(K360="NET15",Table1[[#This Row],[Posting Date]]+15,IF(K360="COD",Table1[[#This Row],[Posting Date]],"")))</f>
        <v>45821</v>
      </c>
      <c r="M360" s="4">
        <f>IFERROR(IF(Table1[[#This Row],[Type]]="IN",Table1[[#This Row],[RC Date]]-Table1[[#This Row],[Posting Date]],""),"")</f>
        <v>0</v>
      </c>
      <c r="N360">
        <f>IFERROR(IF(Table1[[#This Row],[Balance Due (LC)]]&lt;&gt;0,$S$1-L360,0),"")</f>
        <v>0</v>
      </c>
      <c r="O360">
        <f>IFERROR(IF(Table1[[#This Row],[Type]]="IN",Table1[[#This Row],[C/D (LC)]],IF(Table1[[#This Row],[Type]]="CN",Table1[[#This Row],[C/D (LC)]],"")),"")</f>
        <v>8034.85</v>
      </c>
      <c r="P360" t="str">
        <f>VLOOKUP(Table1[[#This Row],[Cust '#]],ClientInfo!$A:$B,2,0)</f>
        <v>Client_04</v>
      </c>
    </row>
    <row r="361" spans="1:16">
      <c r="A361" t="s">
        <v>110</v>
      </c>
      <c r="B361" t="s">
        <v>12</v>
      </c>
      <c r="C361">
        <v>140024501</v>
      </c>
      <c r="D361" s="1">
        <v>45791</v>
      </c>
      <c r="E361">
        <v>-8034.85</v>
      </c>
      <c r="F361">
        <v>0</v>
      </c>
      <c r="G361">
        <v>140024501</v>
      </c>
      <c r="H361" s="1">
        <v>45791</v>
      </c>
      <c r="I361">
        <f>YEAR(Table1[[#This Row],[Posting Date]])</f>
        <v>2025</v>
      </c>
      <c r="J361">
        <f>MONTH(Table1[[#This Row],[Posting Date]])</f>
        <v>5</v>
      </c>
      <c r="K361" t="str">
        <f>IF(Table1[[#This Row],[Type]]="IN",VLOOKUP(Table1[[#This Row],[Cust '#]],ClientInfo!$A:$D,4,0),"")</f>
        <v>NET30</v>
      </c>
      <c r="L361" s="1">
        <f>IF(K361="NET30",Table1[[#This Row],[Posting Date]]+30,IF(K361="NET15",Table1[[#This Row],[Posting Date]]+15,IF(K361="COD",Table1[[#This Row],[Posting Date]],"")))</f>
        <v>45821</v>
      </c>
      <c r="M361" s="4">
        <f>IFERROR(IF(Table1[[#This Row],[Type]]="IN",Table1[[#This Row],[RC Date]]-Table1[[#This Row],[Posting Date]],""),"")</f>
        <v>0</v>
      </c>
      <c r="N361">
        <f>IFERROR(IF(Table1[[#This Row],[Balance Due (LC)]]&lt;&gt;0,$S$1-L361,0),"")</f>
        <v>0</v>
      </c>
      <c r="O361">
        <f>IFERROR(IF(Table1[[#This Row],[Type]]="IN",Table1[[#This Row],[C/D (LC)]],IF(Table1[[#This Row],[Type]]="CN",Table1[[#This Row],[C/D (LC)]],"")),"")</f>
        <v>-8034.85</v>
      </c>
      <c r="P361" t="str">
        <f>VLOOKUP(Table1[[#This Row],[Cust '#]],ClientInfo!$A:$B,2,0)</f>
        <v>Client_04</v>
      </c>
    </row>
    <row r="362" spans="1:16">
      <c r="A362" t="s">
        <v>110</v>
      </c>
      <c r="B362" t="s">
        <v>12</v>
      </c>
      <c r="C362">
        <v>140024502</v>
      </c>
      <c r="D362" s="1">
        <v>45791</v>
      </c>
      <c r="E362">
        <v>7834.85</v>
      </c>
      <c r="F362">
        <v>0</v>
      </c>
      <c r="G362">
        <v>700003550</v>
      </c>
      <c r="H362" s="1">
        <v>45805</v>
      </c>
      <c r="I362">
        <f>YEAR(Table1[[#This Row],[Posting Date]])</f>
        <v>2025</v>
      </c>
      <c r="J362">
        <f>MONTH(Table1[[#This Row],[Posting Date]])</f>
        <v>5</v>
      </c>
      <c r="K362" t="str">
        <f>IF(Table1[[#This Row],[Type]]="IN",VLOOKUP(Table1[[#This Row],[Cust '#]],ClientInfo!$A:$D,4,0),"")</f>
        <v>NET30</v>
      </c>
      <c r="L362" s="1">
        <f>IF(K362="NET30",Table1[[#This Row],[Posting Date]]+30,IF(K362="NET15",Table1[[#This Row],[Posting Date]]+15,IF(K362="COD",Table1[[#This Row],[Posting Date]],"")))</f>
        <v>45821</v>
      </c>
      <c r="M362" s="4">
        <f>IFERROR(IF(Table1[[#This Row],[Type]]="IN",Table1[[#This Row],[RC Date]]-Table1[[#This Row],[Posting Date]],""),"")</f>
        <v>14</v>
      </c>
      <c r="N362">
        <f>IFERROR(IF(Table1[[#This Row],[Balance Due (LC)]]&lt;&gt;0,$S$1-L362,0),"")</f>
        <v>0</v>
      </c>
      <c r="O362">
        <f>IFERROR(IF(Table1[[#This Row],[Type]]="IN",Table1[[#This Row],[C/D (LC)]],IF(Table1[[#This Row],[Type]]="CN",Table1[[#This Row],[C/D (LC)]],"")),"")</f>
        <v>7834.85</v>
      </c>
      <c r="P362" t="str">
        <f>VLOOKUP(Table1[[#This Row],[Cust '#]],ClientInfo!$A:$B,2,0)</f>
        <v>Client_04</v>
      </c>
    </row>
    <row r="363" spans="1:16">
      <c r="A363" t="s">
        <v>110</v>
      </c>
      <c r="B363" t="s">
        <v>12</v>
      </c>
      <c r="C363">
        <v>140024503</v>
      </c>
      <c r="D363" s="1">
        <v>45791</v>
      </c>
      <c r="E363">
        <v>200</v>
      </c>
      <c r="F363">
        <v>0</v>
      </c>
      <c r="G363">
        <v>700003550</v>
      </c>
      <c r="H363" s="1">
        <v>45805</v>
      </c>
      <c r="I363">
        <f>YEAR(Table1[[#This Row],[Posting Date]])</f>
        <v>2025</v>
      </c>
      <c r="J363">
        <f>MONTH(Table1[[#This Row],[Posting Date]])</f>
        <v>5</v>
      </c>
      <c r="K363" t="str">
        <f>IF(Table1[[#This Row],[Type]]="IN",VLOOKUP(Table1[[#This Row],[Cust '#]],ClientInfo!$A:$D,4,0),"")</f>
        <v>NET30</v>
      </c>
      <c r="L363" s="1">
        <f>IF(K363="NET30",Table1[[#This Row],[Posting Date]]+30,IF(K363="NET15",Table1[[#This Row],[Posting Date]]+15,IF(K363="COD",Table1[[#This Row],[Posting Date]],"")))</f>
        <v>45821</v>
      </c>
      <c r="M363" s="4">
        <f>IFERROR(IF(Table1[[#This Row],[Type]]="IN",Table1[[#This Row],[RC Date]]-Table1[[#This Row],[Posting Date]],""),"")</f>
        <v>14</v>
      </c>
      <c r="N363">
        <f>IFERROR(IF(Table1[[#This Row],[Balance Due (LC)]]&lt;&gt;0,$S$1-L363,0),"")</f>
        <v>0</v>
      </c>
      <c r="O363">
        <f>IFERROR(IF(Table1[[#This Row],[Type]]="IN",Table1[[#This Row],[C/D (LC)]],IF(Table1[[#This Row],[Type]]="CN",Table1[[#This Row],[C/D (LC)]],"")),"")</f>
        <v>200</v>
      </c>
      <c r="P363" t="str">
        <f>VLOOKUP(Table1[[#This Row],[Cust '#]],ClientInfo!$A:$B,2,0)</f>
        <v>Client_04</v>
      </c>
    </row>
    <row r="364" spans="1:16">
      <c r="A364" t="s">
        <v>110</v>
      </c>
      <c r="B364" t="s">
        <v>10</v>
      </c>
      <c r="C364">
        <v>700003471</v>
      </c>
      <c r="D364" s="1">
        <v>45793</v>
      </c>
      <c r="E364">
        <v>-4390</v>
      </c>
      <c r="F364">
        <v>0</v>
      </c>
      <c r="G364">
        <v>700003471</v>
      </c>
      <c r="H364" s="1">
        <v>45793</v>
      </c>
      <c r="I364">
        <f>YEAR(Table1[[#This Row],[Posting Date]])</f>
        <v>2025</v>
      </c>
      <c r="J364">
        <f>MONTH(Table1[[#This Row],[Posting Date]])</f>
        <v>5</v>
      </c>
      <c r="K364" t="str">
        <f>IF(Table1[[#This Row],[Type]]="IN",VLOOKUP(Table1[[#This Row],[Cust '#]],ClientInfo!$A:$D,4,0),"")</f>
        <v/>
      </c>
      <c r="L364" s="1" t="str">
        <f>IF(K364="NET30",Table1[[#This Row],[Posting Date]]+30,IF(K364="NET15",Table1[[#This Row],[Posting Date]]+15,IF(K364="COD",Table1[[#This Row],[Posting Date]],"")))</f>
        <v/>
      </c>
      <c r="M364" s="4" t="str">
        <f>IFERROR(IF(Table1[[#This Row],[Type]]="IN",Table1[[#This Row],[RC Date]]-Table1[[#This Row],[Posting Date]],""),"")</f>
        <v/>
      </c>
      <c r="N364">
        <f>IFERROR(IF(Table1[[#This Row],[Balance Due (LC)]]&lt;&gt;0,$S$1-L364,0),"")</f>
        <v>0</v>
      </c>
      <c r="O364" t="str">
        <f>IFERROR(IF(Table1[[#This Row],[Type]]="IN",Table1[[#This Row],[C/D (LC)]],IF(Table1[[#This Row],[Type]]="CN",Table1[[#This Row],[C/D (LC)]],"")),"")</f>
        <v/>
      </c>
      <c r="P364" t="str">
        <f>VLOOKUP(Table1[[#This Row],[Cust '#]],ClientInfo!$A:$B,2,0)</f>
        <v>Client_04</v>
      </c>
    </row>
    <row r="365" spans="1:16">
      <c r="A365" t="s">
        <v>110</v>
      </c>
      <c r="B365" t="s">
        <v>12</v>
      </c>
      <c r="C365">
        <v>140024825</v>
      </c>
      <c r="D365" s="1">
        <v>45798</v>
      </c>
      <c r="E365">
        <v>3689.7</v>
      </c>
      <c r="F365">
        <v>0</v>
      </c>
      <c r="G365">
        <v>700003607</v>
      </c>
      <c r="H365" s="1">
        <v>45810</v>
      </c>
      <c r="I365">
        <f>YEAR(Table1[[#This Row],[Posting Date]])</f>
        <v>2025</v>
      </c>
      <c r="J365">
        <f>MONTH(Table1[[#This Row],[Posting Date]])</f>
        <v>5</v>
      </c>
      <c r="K365" t="str">
        <f>IF(Table1[[#This Row],[Type]]="IN",VLOOKUP(Table1[[#This Row],[Cust '#]],ClientInfo!$A:$D,4,0),"")</f>
        <v>NET30</v>
      </c>
      <c r="L365" s="1">
        <f>IF(K365="NET30",Table1[[#This Row],[Posting Date]]+30,IF(K365="NET15",Table1[[#This Row],[Posting Date]]+15,IF(K365="COD",Table1[[#This Row],[Posting Date]],"")))</f>
        <v>45828</v>
      </c>
      <c r="M365" s="4">
        <f>IFERROR(IF(Table1[[#This Row],[Type]]="IN",Table1[[#This Row],[RC Date]]-Table1[[#This Row],[Posting Date]],""),"")</f>
        <v>12</v>
      </c>
      <c r="N365">
        <f>IFERROR(IF(Table1[[#This Row],[Balance Due (LC)]]&lt;&gt;0,$S$1-L365,0),"")</f>
        <v>0</v>
      </c>
      <c r="O365">
        <f>IFERROR(IF(Table1[[#This Row],[Type]]="IN",Table1[[#This Row],[C/D (LC)]],IF(Table1[[#This Row],[Type]]="CN",Table1[[#This Row],[C/D (LC)]],"")),"")</f>
        <v>3689.7</v>
      </c>
      <c r="P365" t="str">
        <f>VLOOKUP(Table1[[#This Row],[Cust '#]],ClientInfo!$A:$B,2,0)</f>
        <v>Client_04</v>
      </c>
    </row>
    <row r="366" spans="1:16">
      <c r="A366" t="s">
        <v>110</v>
      </c>
      <c r="B366" t="s">
        <v>12</v>
      </c>
      <c r="C366">
        <v>140025137</v>
      </c>
      <c r="D366" s="1">
        <v>45805</v>
      </c>
      <c r="E366">
        <v>7150.26</v>
      </c>
      <c r="F366">
        <v>75</v>
      </c>
      <c r="G366">
        <v>700003660</v>
      </c>
      <c r="H366" s="1">
        <v>45817</v>
      </c>
      <c r="I366">
        <f>YEAR(Table1[[#This Row],[Posting Date]])</f>
        <v>2025</v>
      </c>
      <c r="J366">
        <f>MONTH(Table1[[#This Row],[Posting Date]])</f>
        <v>5</v>
      </c>
      <c r="K366" t="str">
        <f>IF(Table1[[#This Row],[Type]]="IN",VLOOKUP(Table1[[#This Row],[Cust '#]],ClientInfo!$A:$D,4,0),"")</f>
        <v>NET30</v>
      </c>
      <c r="L366" s="1">
        <f>IF(K366="NET30",Table1[[#This Row],[Posting Date]]+30,IF(K366="NET15",Table1[[#This Row],[Posting Date]]+15,IF(K366="COD",Table1[[#This Row],[Posting Date]],"")))</f>
        <v>45835</v>
      </c>
      <c r="M366" s="4">
        <f>IFERROR(IF(Table1[[#This Row],[Type]]="IN",Table1[[#This Row],[RC Date]]-Table1[[#This Row],[Posting Date]],""),"")</f>
        <v>12</v>
      </c>
      <c r="N366">
        <f>IFERROR(IF(Table1[[#This Row],[Balance Due (LC)]]&lt;&gt;0,$S$1-L366,0),"")</f>
        <v>-9</v>
      </c>
      <c r="O366">
        <f>IFERROR(IF(Table1[[#This Row],[Type]]="IN",Table1[[#This Row],[C/D (LC)]],IF(Table1[[#This Row],[Type]]="CN",Table1[[#This Row],[C/D (LC)]],"")),"")</f>
        <v>7150.26</v>
      </c>
      <c r="P366" t="str">
        <f>VLOOKUP(Table1[[#This Row],[Cust '#]],ClientInfo!$A:$B,2,0)</f>
        <v>Client_04</v>
      </c>
    </row>
    <row r="367" spans="1:16">
      <c r="A367" t="s">
        <v>110</v>
      </c>
      <c r="B367" t="s">
        <v>10</v>
      </c>
      <c r="C367">
        <v>700003550</v>
      </c>
      <c r="D367" s="1">
        <v>45805</v>
      </c>
      <c r="E367">
        <v>-8034.85</v>
      </c>
      <c r="F367">
        <v>0</v>
      </c>
      <c r="G367">
        <v>700003550</v>
      </c>
      <c r="H367" s="1">
        <v>45805</v>
      </c>
      <c r="I367">
        <f>YEAR(Table1[[#This Row],[Posting Date]])</f>
        <v>2025</v>
      </c>
      <c r="J367">
        <f>MONTH(Table1[[#This Row],[Posting Date]])</f>
        <v>5</v>
      </c>
      <c r="K367" t="str">
        <f>IF(Table1[[#This Row],[Type]]="IN",VLOOKUP(Table1[[#This Row],[Cust '#]],ClientInfo!$A:$D,4,0),"")</f>
        <v/>
      </c>
      <c r="L367" s="1" t="str">
        <f>IF(K367="NET30",Table1[[#This Row],[Posting Date]]+30,IF(K367="NET15",Table1[[#This Row],[Posting Date]]+15,IF(K367="COD",Table1[[#This Row],[Posting Date]],"")))</f>
        <v/>
      </c>
      <c r="M367" s="4" t="str">
        <f>IFERROR(IF(Table1[[#This Row],[Type]]="IN",Table1[[#This Row],[RC Date]]-Table1[[#This Row],[Posting Date]],""),"")</f>
        <v/>
      </c>
      <c r="N367">
        <f>IFERROR(IF(Table1[[#This Row],[Balance Due (LC)]]&lt;&gt;0,$S$1-L367,0),"")</f>
        <v>0</v>
      </c>
      <c r="O367" t="str">
        <f>IFERROR(IF(Table1[[#This Row],[Type]]="IN",Table1[[#This Row],[C/D (LC)]],IF(Table1[[#This Row],[Type]]="CN",Table1[[#This Row],[C/D (LC)]],"")),"")</f>
        <v/>
      </c>
      <c r="P367" t="str">
        <f>VLOOKUP(Table1[[#This Row],[Cust '#]],ClientInfo!$A:$B,2,0)</f>
        <v>Client_04</v>
      </c>
    </row>
    <row r="368" spans="1:16">
      <c r="A368" t="s">
        <v>110</v>
      </c>
      <c r="B368" t="s">
        <v>13</v>
      </c>
      <c r="C368">
        <v>150001153</v>
      </c>
      <c r="D368" s="1">
        <v>45808</v>
      </c>
      <c r="E368">
        <v>-252.4</v>
      </c>
      <c r="F368">
        <v>-252.4</v>
      </c>
      <c r="H368" s="1" t="s">
        <v>14</v>
      </c>
      <c r="I368">
        <f>YEAR(Table1[[#This Row],[Posting Date]])</f>
        <v>2025</v>
      </c>
      <c r="J368">
        <f>MONTH(Table1[[#This Row],[Posting Date]])</f>
        <v>5</v>
      </c>
      <c r="K368" t="str">
        <f>IF(Table1[[#This Row],[Type]]="IN",VLOOKUP(Table1[[#This Row],[Cust '#]],ClientInfo!$A:$D,4,0),"")</f>
        <v/>
      </c>
      <c r="L368" s="1" t="str">
        <f>IF(K368="NET30",Table1[[#This Row],[Posting Date]]+30,IF(K368="NET15",Table1[[#This Row],[Posting Date]]+15,IF(K368="COD",Table1[[#This Row],[Posting Date]],"")))</f>
        <v/>
      </c>
      <c r="M368" s="4" t="str">
        <f>IFERROR(IF(Table1[[#This Row],[Type]]="IN",Table1[[#This Row],[RC Date]]-Table1[[#This Row],[Posting Date]],""),"")</f>
        <v/>
      </c>
      <c r="N368" t="str">
        <f>IFERROR(IF(Table1[[#This Row],[Balance Due (LC)]]&lt;&gt;0,$S$1-L368,0),"")</f>
        <v/>
      </c>
      <c r="O368">
        <f>IFERROR(IF(Table1[[#This Row],[Type]]="IN",Table1[[#This Row],[C/D (LC)]],IF(Table1[[#This Row],[Type]]="CN",Table1[[#This Row],[C/D (LC)]],"")),"")</f>
        <v>-252.4</v>
      </c>
      <c r="P368" t="str">
        <f>VLOOKUP(Table1[[#This Row],[Cust '#]],ClientInfo!$A:$B,2,0)</f>
        <v>Client_04</v>
      </c>
    </row>
    <row r="369" spans="1:16">
      <c r="A369" t="s">
        <v>110</v>
      </c>
      <c r="B369" t="s">
        <v>10</v>
      </c>
      <c r="C369">
        <v>700003607</v>
      </c>
      <c r="D369" s="1">
        <v>45810</v>
      </c>
      <c r="E369">
        <v>-3689.7</v>
      </c>
      <c r="F369">
        <v>0</v>
      </c>
      <c r="G369">
        <v>700003607</v>
      </c>
      <c r="H369" s="1">
        <v>45810</v>
      </c>
      <c r="I369">
        <f>YEAR(Table1[[#This Row],[Posting Date]])</f>
        <v>2025</v>
      </c>
      <c r="J369">
        <f>MONTH(Table1[[#This Row],[Posting Date]])</f>
        <v>6</v>
      </c>
      <c r="K369" t="str">
        <f>IF(Table1[[#This Row],[Type]]="IN",VLOOKUP(Table1[[#This Row],[Cust '#]],ClientInfo!$A:$D,4,0),"")</f>
        <v/>
      </c>
      <c r="L369" s="1" t="str">
        <f>IF(K369="NET30",Table1[[#This Row],[Posting Date]]+30,IF(K369="NET15",Table1[[#This Row],[Posting Date]]+15,IF(K369="COD",Table1[[#This Row],[Posting Date]],"")))</f>
        <v/>
      </c>
      <c r="M369" s="4" t="str">
        <f>IFERROR(IF(Table1[[#This Row],[Type]]="IN",Table1[[#This Row],[RC Date]]-Table1[[#This Row],[Posting Date]],""),"")</f>
        <v/>
      </c>
      <c r="N369">
        <f>IFERROR(IF(Table1[[#This Row],[Balance Due (LC)]]&lt;&gt;0,$S$1-L369,0),"")</f>
        <v>0</v>
      </c>
      <c r="O369" t="str">
        <f>IFERROR(IF(Table1[[#This Row],[Type]]="IN",Table1[[#This Row],[C/D (LC)]],IF(Table1[[#This Row],[Type]]="CN",Table1[[#This Row],[C/D (LC)]],"")),"")</f>
        <v/>
      </c>
      <c r="P369" t="str">
        <f>VLOOKUP(Table1[[#This Row],[Cust '#]],ClientInfo!$A:$B,2,0)</f>
        <v>Client_04</v>
      </c>
    </row>
    <row r="370" spans="1:16">
      <c r="A370" t="s">
        <v>110</v>
      </c>
      <c r="B370" t="s">
        <v>12</v>
      </c>
      <c r="C370">
        <v>140025424</v>
      </c>
      <c r="D370" s="1">
        <v>45812</v>
      </c>
      <c r="E370">
        <v>2686.2</v>
      </c>
      <c r="F370">
        <v>0</v>
      </c>
      <c r="G370">
        <v>700003707</v>
      </c>
      <c r="H370" s="1">
        <v>45821</v>
      </c>
      <c r="I370">
        <f>YEAR(Table1[[#This Row],[Posting Date]])</f>
        <v>2025</v>
      </c>
      <c r="J370">
        <f>MONTH(Table1[[#This Row],[Posting Date]])</f>
        <v>6</v>
      </c>
      <c r="K370" t="str">
        <f>IF(Table1[[#This Row],[Type]]="IN",VLOOKUP(Table1[[#This Row],[Cust '#]],ClientInfo!$A:$D,4,0),"")</f>
        <v>NET30</v>
      </c>
      <c r="L370" s="1">
        <f>IF(K370="NET30",Table1[[#This Row],[Posting Date]]+30,IF(K370="NET15",Table1[[#This Row],[Posting Date]]+15,IF(K370="COD",Table1[[#This Row],[Posting Date]],"")))</f>
        <v>45842</v>
      </c>
      <c r="M370" s="4">
        <f>IFERROR(IF(Table1[[#This Row],[Type]]="IN",Table1[[#This Row],[RC Date]]-Table1[[#This Row],[Posting Date]],""),"")</f>
        <v>9</v>
      </c>
      <c r="N370">
        <f>IFERROR(IF(Table1[[#This Row],[Balance Due (LC)]]&lt;&gt;0,$S$1-L370,0),"")</f>
        <v>0</v>
      </c>
      <c r="O370">
        <f>IFERROR(IF(Table1[[#This Row],[Type]]="IN",Table1[[#This Row],[C/D (LC)]],IF(Table1[[#This Row],[Type]]="CN",Table1[[#This Row],[C/D (LC)]],"")),"")</f>
        <v>2686.2</v>
      </c>
      <c r="P370" t="str">
        <f>VLOOKUP(Table1[[#This Row],[Cust '#]],ClientInfo!$A:$B,2,0)</f>
        <v>Client_04</v>
      </c>
    </row>
    <row r="371" spans="1:16">
      <c r="A371" t="s">
        <v>110</v>
      </c>
      <c r="B371" t="s">
        <v>10</v>
      </c>
      <c r="C371">
        <v>700003660</v>
      </c>
      <c r="D371" s="1">
        <v>45817</v>
      </c>
      <c r="E371">
        <v>-7075.26</v>
      </c>
      <c r="F371">
        <v>0</v>
      </c>
      <c r="G371">
        <v>700003660</v>
      </c>
      <c r="H371" s="1">
        <v>45817</v>
      </c>
      <c r="I371">
        <f>YEAR(Table1[[#This Row],[Posting Date]])</f>
        <v>2025</v>
      </c>
      <c r="J371">
        <f>MONTH(Table1[[#This Row],[Posting Date]])</f>
        <v>6</v>
      </c>
      <c r="K371" t="str">
        <f>IF(Table1[[#This Row],[Type]]="IN",VLOOKUP(Table1[[#This Row],[Cust '#]],ClientInfo!$A:$D,4,0),"")</f>
        <v/>
      </c>
      <c r="L371" s="1" t="str">
        <f>IF(K371="NET30",Table1[[#This Row],[Posting Date]]+30,IF(K371="NET15",Table1[[#This Row],[Posting Date]]+15,IF(K371="COD",Table1[[#This Row],[Posting Date]],"")))</f>
        <v/>
      </c>
      <c r="M371" s="4" t="str">
        <f>IFERROR(IF(Table1[[#This Row],[Type]]="IN",Table1[[#This Row],[RC Date]]-Table1[[#This Row],[Posting Date]],""),"")</f>
        <v/>
      </c>
      <c r="N371">
        <f>IFERROR(IF(Table1[[#This Row],[Balance Due (LC)]]&lt;&gt;0,$S$1-L371,0),"")</f>
        <v>0</v>
      </c>
      <c r="O371" t="str">
        <f>IFERROR(IF(Table1[[#This Row],[Type]]="IN",Table1[[#This Row],[C/D (LC)]],IF(Table1[[#This Row],[Type]]="CN",Table1[[#This Row],[C/D (LC)]],"")),"")</f>
        <v/>
      </c>
      <c r="P371" t="str">
        <f>VLOOKUP(Table1[[#This Row],[Cust '#]],ClientInfo!$A:$B,2,0)</f>
        <v>Client_04</v>
      </c>
    </row>
    <row r="372" spans="1:16">
      <c r="A372" t="s">
        <v>110</v>
      </c>
      <c r="B372" t="s">
        <v>12</v>
      </c>
      <c r="C372">
        <v>140025774</v>
      </c>
      <c r="D372" s="1">
        <v>45819</v>
      </c>
      <c r="E372">
        <v>8597.7999999999993</v>
      </c>
      <c r="F372">
        <v>8597.7999999999993</v>
      </c>
      <c r="H372" s="1" t="s">
        <v>14</v>
      </c>
      <c r="I372">
        <f>YEAR(Table1[[#This Row],[Posting Date]])</f>
        <v>2025</v>
      </c>
      <c r="J372">
        <f>MONTH(Table1[[#This Row],[Posting Date]])</f>
        <v>6</v>
      </c>
      <c r="K372" t="str">
        <f>IF(Table1[[#This Row],[Type]]="IN",VLOOKUP(Table1[[#This Row],[Cust '#]],ClientInfo!$A:$D,4,0),"")</f>
        <v>NET30</v>
      </c>
      <c r="L372" s="1">
        <f>IF(K372="NET30",Table1[[#This Row],[Posting Date]]+30,IF(K372="NET15",Table1[[#This Row],[Posting Date]]+15,IF(K372="COD",Table1[[#This Row],[Posting Date]],"")))</f>
        <v>45849</v>
      </c>
      <c r="M372" s="4" t="str">
        <f>IFERROR(IF(Table1[[#This Row],[Type]]="IN",Table1[[#This Row],[RC Date]]-Table1[[#This Row],[Posting Date]],""),"")</f>
        <v/>
      </c>
      <c r="N372">
        <f>IFERROR(IF(Table1[[#This Row],[Balance Due (LC)]]&lt;&gt;0,$S$1-L372,0),"")</f>
        <v>-23</v>
      </c>
      <c r="O372">
        <f>IFERROR(IF(Table1[[#This Row],[Type]]="IN",Table1[[#This Row],[C/D (LC)]],IF(Table1[[#This Row],[Type]]="CN",Table1[[#This Row],[C/D (LC)]],"")),"")</f>
        <v>8597.7999999999993</v>
      </c>
      <c r="P372" t="str">
        <f>VLOOKUP(Table1[[#This Row],[Cust '#]],ClientInfo!$A:$B,2,0)</f>
        <v>Client_04</v>
      </c>
    </row>
    <row r="373" spans="1:16">
      <c r="A373" t="s">
        <v>110</v>
      </c>
      <c r="B373" t="s">
        <v>12</v>
      </c>
      <c r="C373">
        <v>140025775</v>
      </c>
      <c r="D373" s="1">
        <v>45819</v>
      </c>
      <c r="E373">
        <v>264</v>
      </c>
      <c r="F373">
        <v>264</v>
      </c>
      <c r="H373" s="1" t="s">
        <v>14</v>
      </c>
      <c r="I373">
        <f>YEAR(Table1[[#This Row],[Posting Date]])</f>
        <v>2025</v>
      </c>
      <c r="J373">
        <f>MONTH(Table1[[#This Row],[Posting Date]])</f>
        <v>6</v>
      </c>
      <c r="K373" t="str">
        <f>IF(Table1[[#This Row],[Type]]="IN",VLOOKUP(Table1[[#This Row],[Cust '#]],ClientInfo!$A:$D,4,0),"")</f>
        <v>NET30</v>
      </c>
      <c r="L373" s="1">
        <f>IF(K373="NET30",Table1[[#This Row],[Posting Date]]+30,IF(K373="NET15",Table1[[#This Row],[Posting Date]]+15,IF(K373="COD",Table1[[#This Row],[Posting Date]],"")))</f>
        <v>45849</v>
      </c>
      <c r="M373" s="4" t="str">
        <f>IFERROR(IF(Table1[[#This Row],[Type]]="IN",Table1[[#This Row],[RC Date]]-Table1[[#This Row],[Posting Date]],""),"")</f>
        <v/>
      </c>
      <c r="N373">
        <f>IFERROR(IF(Table1[[#This Row],[Balance Due (LC)]]&lt;&gt;0,$S$1-L373,0),"")</f>
        <v>-23</v>
      </c>
      <c r="O373">
        <f>IFERROR(IF(Table1[[#This Row],[Type]]="IN",Table1[[#This Row],[C/D (LC)]],IF(Table1[[#This Row],[Type]]="CN",Table1[[#This Row],[C/D (LC)]],"")),"")</f>
        <v>264</v>
      </c>
      <c r="P373" t="str">
        <f>VLOOKUP(Table1[[#This Row],[Cust '#]],ClientInfo!$A:$B,2,0)</f>
        <v>Client_04</v>
      </c>
    </row>
    <row r="374" spans="1:16">
      <c r="A374" t="s">
        <v>110</v>
      </c>
      <c r="B374" t="s">
        <v>10</v>
      </c>
      <c r="C374">
        <v>700003707</v>
      </c>
      <c r="D374" s="1">
        <v>45821</v>
      </c>
      <c r="E374">
        <v>-2686.2</v>
      </c>
      <c r="F374">
        <v>0</v>
      </c>
      <c r="G374">
        <v>700003707</v>
      </c>
      <c r="H374" s="1">
        <v>45821</v>
      </c>
      <c r="I374">
        <f>YEAR(Table1[[#This Row],[Posting Date]])</f>
        <v>2025</v>
      </c>
      <c r="J374">
        <f>MONTH(Table1[[#This Row],[Posting Date]])</f>
        <v>6</v>
      </c>
      <c r="K374" t="str">
        <f>IF(Table1[[#This Row],[Type]]="IN",VLOOKUP(Table1[[#This Row],[Cust '#]],ClientInfo!$A:$D,4,0),"")</f>
        <v/>
      </c>
      <c r="L374" s="1" t="str">
        <f>IF(K374="NET30",Table1[[#This Row],[Posting Date]]+30,IF(K374="NET15",Table1[[#This Row],[Posting Date]]+15,IF(K374="COD",Table1[[#This Row],[Posting Date]],"")))</f>
        <v/>
      </c>
      <c r="M374" s="4" t="str">
        <f>IFERROR(IF(Table1[[#This Row],[Type]]="IN",Table1[[#This Row],[RC Date]]-Table1[[#This Row],[Posting Date]],""),"")</f>
        <v/>
      </c>
      <c r="N374">
        <f>IFERROR(IF(Table1[[#This Row],[Balance Due (LC)]]&lt;&gt;0,$S$1-L374,0),"")</f>
        <v>0</v>
      </c>
      <c r="O374" t="str">
        <f>IFERROR(IF(Table1[[#This Row],[Type]]="IN",Table1[[#This Row],[C/D (LC)]],IF(Table1[[#This Row],[Type]]="CN",Table1[[#This Row],[C/D (LC)]],"")),"")</f>
        <v/>
      </c>
      <c r="P374" t="str">
        <f>VLOOKUP(Table1[[#This Row],[Cust '#]],ClientInfo!$A:$B,2,0)</f>
        <v>Client_04</v>
      </c>
    </row>
    <row r="375" spans="1:16">
      <c r="A375" t="s">
        <v>111</v>
      </c>
      <c r="B375" t="s">
        <v>12</v>
      </c>
      <c r="C375">
        <v>140000037</v>
      </c>
      <c r="D375" s="1">
        <v>45049</v>
      </c>
      <c r="E375">
        <v>24</v>
      </c>
      <c r="F375">
        <v>0</v>
      </c>
      <c r="G375">
        <v>700001134</v>
      </c>
      <c r="H375" s="1">
        <v>45491</v>
      </c>
      <c r="I375">
        <f>YEAR(Table1[[#This Row],[Posting Date]])</f>
        <v>2023</v>
      </c>
      <c r="J375">
        <f>MONTH(Table1[[#This Row],[Posting Date]])</f>
        <v>5</v>
      </c>
      <c r="K375" t="str">
        <f>IF(Table1[[#This Row],[Type]]="IN",VLOOKUP(Table1[[#This Row],[Cust '#]],ClientInfo!$A:$D,4,0),"")</f>
        <v>NET30</v>
      </c>
      <c r="L375" s="1">
        <f>IF(K375="NET30",Table1[[#This Row],[Posting Date]]+30,IF(K375="NET15",Table1[[#This Row],[Posting Date]]+15,IF(K375="COD",Table1[[#This Row],[Posting Date]],"")))</f>
        <v>45079</v>
      </c>
      <c r="M375" s="4">
        <f>IFERROR(IF(Table1[[#This Row],[Type]]="IN",Table1[[#This Row],[RC Date]]-Table1[[#This Row],[Posting Date]],""),"")</f>
        <v>442</v>
      </c>
      <c r="N375">
        <f>IFERROR(IF(Table1[[#This Row],[Balance Due (LC)]]&lt;&gt;0,$S$1-L375,0),"")</f>
        <v>0</v>
      </c>
      <c r="O375">
        <f>IFERROR(IF(Table1[[#This Row],[Type]]="IN",Table1[[#This Row],[C/D (LC)]],IF(Table1[[#This Row],[Type]]="CN",Table1[[#This Row],[C/D (LC)]],"")),"")</f>
        <v>24</v>
      </c>
      <c r="P375" t="str">
        <f>VLOOKUP(Table1[[#This Row],[Cust '#]],ClientInfo!$A:$B,2,0)</f>
        <v>Client_05</v>
      </c>
    </row>
    <row r="376" spans="1:16">
      <c r="A376" t="s">
        <v>111</v>
      </c>
      <c r="B376" t="s">
        <v>13</v>
      </c>
      <c r="C376">
        <v>150000003</v>
      </c>
      <c r="D376" s="1">
        <v>45157</v>
      </c>
      <c r="E376">
        <v>-14</v>
      </c>
      <c r="F376">
        <v>0</v>
      </c>
      <c r="G376">
        <v>700000615</v>
      </c>
      <c r="H376" s="1">
        <v>45422</v>
      </c>
      <c r="I376">
        <f>YEAR(Table1[[#This Row],[Posting Date]])</f>
        <v>2023</v>
      </c>
      <c r="J376">
        <f>MONTH(Table1[[#This Row],[Posting Date]])</f>
        <v>8</v>
      </c>
      <c r="K376" t="str">
        <f>IF(Table1[[#This Row],[Type]]="IN",VLOOKUP(Table1[[#This Row],[Cust '#]],ClientInfo!$A:$D,4,0),"")</f>
        <v/>
      </c>
      <c r="L376" s="1" t="str">
        <f>IF(K376="NET30",Table1[[#This Row],[Posting Date]]+30,IF(K376="NET15",Table1[[#This Row],[Posting Date]]+15,IF(K376="COD",Table1[[#This Row],[Posting Date]],"")))</f>
        <v/>
      </c>
      <c r="M376" s="4" t="str">
        <f>IFERROR(IF(Table1[[#This Row],[Type]]="IN",Table1[[#This Row],[RC Date]]-Table1[[#This Row],[Posting Date]],""),"")</f>
        <v/>
      </c>
      <c r="N376">
        <f>IFERROR(IF(Table1[[#This Row],[Balance Due (LC)]]&lt;&gt;0,$S$1-L376,0),"")</f>
        <v>0</v>
      </c>
      <c r="O376">
        <f>IFERROR(IF(Table1[[#This Row],[Type]]="IN",Table1[[#This Row],[C/D (LC)]],IF(Table1[[#This Row],[Type]]="CN",Table1[[#This Row],[C/D (LC)]],"")),"")</f>
        <v>-14</v>
      </c>
      <c r="P376" t="str">
        <f>VLOOKUP(Table1[[#This Row],[Cust '#]],ClientInfo!$A:$B,2,0)</f>
        <v>Client_05</v>
      </c>
    </row>
    <row r="377" spans="1:16">
      <c r="A377" t="s">
        <v>111</v>
      </c>
      <c r="B377" t="s">
        <v>13</v>
      </c>
      <c r="C377">
        <v>150000004</v>
      </c>
      <c r="D377" s="1">
        <v>45184</v>
      </c>
      <c r="E377">
        <v>-322</v>
      </c>
      <c r="F377">
        <v>0</v>
      </c>
      <c r="G377">
        <v>700000615</v>
      </c>
      <c r="H377" s="1">
        <v>45422</v>
      </c>
      <c r="I377">
        <f>YEAR(Table1[[#This Row],[Posting Date]])</f>
        <v>2023</v>
      </c>
      <c r="J377">
        <f>MONTH(Table1[[#This Row],[Posting Date]])</f>
        <v>9</v>
      </c>
      <c r="K377" t="str">
        <f>IF(Table1[[#This Row],[Type]]="IN",VLOOKUP(Table1[[#This Row],[Cust '#]],ClientInfo!$A:$D,4,0),"")</f>
        <v/>
      </c>
      <c r="L377" s="1" t="str">
        <f>IF(K377="NET30",Table1[[#This Row],[Posting Date]]+30,IF(K377="NET15",Table1[[#This Row],[Posting Date]]+15,IF(K377="COD",Table1[[#This Row],[Posting Date]],"")))</f>
        <v/>
      </c>
      <c r="M377" s="4" t="str">
        <f>IFERROR(IF(Table1[[#This Row],[Type]]="IN",Table1[[#This Row],[RC Date]]-Table1[[#This Row],[Posting Date]],""),"")</f>
        <v/>
      </c>
      <c r="N377">
        <f>IFERROR(IF(Table1[[#This Row],[Balance Due (LC)]]&lt;&gt;0,$S$1-L377,0),"")</f>
        <v>0</v>
      </c>
      <c r="O377">
        <f>IFERROR(IF(Table1[[#This Row],[Type]]="IN",Table1[[#This Row],[C/D (LC)]],IF(Table1[[#This Row],[Type]]="CN",Table1[[#This Row],[C/D (LC)]],"")),"")</f>
        <v>-322</v>
      </c>
      <c r="P377" t="str">
        <f>VLOOKUP(Table1[[#This Row],[Cust '#]],ClientInfo!$A:$B,2,0)</f>
        <v>Client_05</v>
      </c>
    </row>
    <row r="378" spans="1:16">
      <c r="A378" t="s">
        <v>111</v>
      </c>
      <c r="B378" t="s">
        <v>13</v>
      </c>
      <c r="C378">
        <v>150000005</v>
      </c>
      <c r="D378" s="1">
        <v>45184</v>
      </c>
      <c r="E378">
        <v>-50</v>
      </c>
      <c r="F378">
        <v>0</v>
      </c>
      <c r="G378">
        <v>700000615</v>
      </c>
      <c r="H378" s="1">
        <v>45422</v>
      </c>
      <c r="I378">
        <f>YEAR(Table1[[#This Row],[Posting Date]])</f>
        <v>2023</v>
      </c>
      <c r="J378">
        <f>MONTH(Table1[[#This Row],[Posting Date]])</f>
        <v>9</v>
      </c>
      <c r="K378" t="str">
        <f>IF(Table1[[#This Row],[Type]]="IN",VLOOKUP(Table1[[#This Row],[Cust '#]],ClientInfo!$A:$D,4,0),"")</f>
        <v/>
      </c>
      <c r="L378" s="1" t="str">
        <f>IF(K378="NET30",Table1[[#This Row],[Posting Date]]+30,IF(K378="NET15",Table1[[#This Row],[Posting Date]]+15,IF(K378="COD",Table1[[#This Row],[Posting Date]],"")))</f>
        <v/>
      </c>
      <c r="M378" s="4" t="str">
        <f>IFERROR(IF(Table1[[#This Row],[Type]]="IN",Table1[[#This Row],[RC Date]]-Table1[[#This Row],[Posting Date]],""),"")</f>
        <v/>
      </c>
      <c r="N378">
        <f>IFERROR(IF(Table1[[#This Row],[Balance Due (LC)]]&lt;&gt;0,$S$1-L378,0),"")</f>
        <v>0</v>
      </c>
      <c r="O378">
        <f>IFERROR(IF(Table1[[#This Row],[Type]]="IN",Table1[[#This Row],[C/D (LC)]],IF(Table1[[#This Row],[Type]]="CN",Table1[[#This Row],[C/D (LC)]],"")),"")</f>
        <v>-50</v>
      </c>
      <c r="P378" t="str">
        <f>VLOOKUP(Table1[[#This Row],[Cust '#]],ClientInfo!$A:$B,2,0)</f>
        <v>Client_05</v>
      </c>
    </row>
    <row r="379" spans="1:16">
      <c r="A379" t="s">
        <v>111</v>
      </c>
      <c r="B379" t="s">
        <v>13</v>
      </c>
      <c r="C379">
        <v>150000006</v>
      </c>
      <c r="D379" s="1">
        <v>45256</v>
      </c>
      <c r="E379">
        <v>-114</v>
      </c>
      <c r="F379">
        <v>0</v>
      </c>
      <c r="G379">
        <v>700000615</v>
      </c>
      <c r="H379" s="1">
        <v>45422</v>
      </c>
      <c r="I379">
        <f>YEAR(Table1[[#This Row],[Posting Date]])</f>
        <v>2023</v>
      </c>
      <c r="J379">
        <f>MONTH(Table1[[#This Row],[Posting Date]])</f>
        <v>11</v>
      </c>
      <c r="K379" t="str">
        <f>IF(Table1[[#This Row],[Type]]="IN",VLOOKUP(Table1[[#This Row],[Cust '#]],ClientInfo!$A:$D,4,0),"")</f>
        <v/>
      </c>
      <c r="L379" s="1" t="str">
        <f>IF(K379="NET30",Table1[[#This Row],[Posting Date]]+30,IF(K379="NET15",Table1[[#This Row],[Posting Date]]+15,IF(K379="COD",Table1[[#This Row],[Posting Date]],"")))</f>
        <v/>
      </c>
      <c r="M379" s="4" t="str">
        <f>IFERROR(IF(Table1[[#This Row],[Type]]="IN",Table1[[#This Row],[RC Date]]-Table1[[#This Row],[Posting Date]],""),"")</f>
        <v/>
      </c>
      <c r="N379">
        <f>IFERROR(IF(Table1[[#This Row],[Balance Due (LC)]]&lt;&gt;0,$S$1-L379,0),"")</f>
        <v>0</v>
      </c>
      <c r="O379">
        <f>IFERROR(IF(Table1[[#This Row],[Type]]="IN",Table1[[#This Row],[C/D (LC)]],IF(Table1[[#This Row],[Type]]="CN",Table1[[#This Row],[C/D (LC)]],"")),"")</f>
        <v>-114</v>
      </c>
      <c r="P379" t="str">
        <f>VLOOKUP(Table1[[#This Row],[Cust '#]],ClientInfo!$A:$B,2,0)</f>
        <v>Client_05</v>
      </c>
    </row>
    <row r="380" spans="1:16">
      <c r="A380" t="s">
        <v>111</v>
      </c>
      <c r="B380" t="s">
        <v>13</v>
      </c>
      <c r="C380">
        <v>150000007</v>
      </c>
      <c r="D380" s="1">
        <v>45289</v>
      </c>
      <c r="E380">
        <v>-55</v>
      </c>
      <c r="F380">
        <v>0</v>
      </c>
      <c r="G380">
        <v>700000615</v>
      </c>
      <c r="H380" s="1">
        <v>45422</v>
      </c>
      <c r="I380">
        <f>YEAR(Table1[[#This Row],[Posting Date]])</f>
        <v>2023</v>
      </c>
      <c r="J380">
        <f>MONTH(Table1[[#This Row],[Posting Date]])</f>
        <v>12</v>
      </c>
      <c r="K380" t="str">
        <f>IF(Table1[[#This Row],[Type]]="IN",VLOOKUP(Table1[[#This Row],[Cust '#]],ClientInfo!$A:$D,4,0),"")</f>
        <v/>
      </c>
      <c r="L380" s="1" t="str">
        <f>IF(K380="NET30",Table1[[#This Row],[Posting Date]]+30,IF(K380="NET15",Table1[[#This Row],[Posting Date]]+15,IF(K380="COD",Table1[[#This Row],[Posting Date]],"")))</f>
        <v/>
      </c>
      <c r="M380" s="4" t="str">
        <f>IFERROR(IF(Table1[[#This Row],[Type]]="IN",Table1[[#This Row],[RC Date]]-Table1[[#This Row],[Posting Date]],""),"")</f>
        <v/>
      </c>
      <c r="N380">
        <f>IFERROR(IF(Table1[[#This Row],[Balance Due (LC)]]&lt;&gt;0,$S$1-L380,0),"")</f>
        <v>0</v>
      </c>
      <c r="O380">
        <f>IFERROR(IF(Table1[[#This Row],[Type]]="IN",Table1[[#This Row],[C/D (LC)]],IF(Table1[[#This Row],[Type]]="CN",Table1[[#This Row],[C/D (LC)]],"")),"")</f>
        <v>-55</v>
      </c>
      <c r="P380" t="str">
        <f>VLOOKUP(Table1[[#This Row],[Cust '#]],ClientInfo!$A:$B,2,0)</f>
        <v>Client_05</v>
      </c>
    </row>
    <row r="381" spans="1:16">
      <c r="A381" t="s">
        <v>111</v>
      </c>
      <c r="B381" t="s">
        <v>12</v>
      </c>
      <c r="C381">
        <v>140000038</v>
      </c>
      <c r="D381" s="1">
        <v>45294</v>
      </c>
      <c r="E381">
        <v>5392.8</v>
      </c>
      <c r="F381">
        <v>0</v>
      </c>
      <c r="G381">
        <v>700000615</v>
      </c>
      <c r="H381" s="1">
        <v>45422</v>
      </c>
      <c r="I381">
        <f>YEAR(Table1[[#This Row],[Posting Date]])</f>
        <v>2024</v>
      </c>
      <c r="J381">
        <f>MONTH(Table1[[#This Row],[Posting Date]])</f>
        <v>1</v>
      </c>
      <c r="K381" t="str">
        <f>IF(Table1[[#This Row],[Type]]="IN",VLOOKUP(Table1[[#This Row],[Cust '#]],ClientInfo!$A:$D,4,0),"")</f>
        <v>NET30</v>
      </c>
      <c r="L381" s="1">
        <f>IF(K381="NET30",Table1[[#This Row],[Posting Date]]+30,IF(K381="NET15",Table1[[#This Row],[Posting Date]]+15,IF(K381="COD",Table1[[#This Row],[Posting Date]],"")))</f>
        <v>45324</v>
      </c>
      <c r="M381" s="4">
        <f>IFERROR(IF(Table1[[#This Row],[Type]]="IN",Table1[[#This Row],[RC Date]]-Table1[[#This Row],[Posting Date]],""),"")</f>
        <v>128</v>
      </c>
      <c r="N381">
        <f>IFERROR(IF(Table1[[#This Row],[Balance Due (LC)]]&lt;&gt;0,$S$1-L381,0),"")</f>
        <v>0</v>
      </c>
      <c r="O381">
        <f>IFERROR(IF(Table1[[#This Row],[Type]]="IN",Table1[[#This Row],[C/D (LC)]],IF(Table1[[#This Row],[Type]]="CN",Table1[[#This Row],[C/D (LC)]],"")),"")</f>
        <v>5392.8</v>
      </c>
      <c r="P381" t="str">
        <f>VLOOKUP(Table1[[#This Row],[Cust '#]],ClientInfo!$A:$B,2,0)</f>
        <v>Client_05</v>
      </c>
    </row>
    <row r="382" spans="1:16">
      <c r="A382" t="s">
        <v>111</v>
      </c>
      <c r="B382" t="s">
        <v>12</v>
      </c>
      <c r="C382">
        <v>140000039</v>
      </c>
      <c r="D382" s="1">
        <v>45301</v>
      </c>
      <c r="E382">
        <v>4192.1000000000004</v>
      </c>
      <c r="F382">
        <v>0</v>
      </c>
      <c r="G382">
        <v>700000615</v>
      </c>
      <c r="H382" s="1">
        <v>45422</v>
      </c>
      <c r="I382">
        <f>YEAR(Table1[[#This Row],[Posting Date]])</f>
        <v>2024</v>
      </c>
      <c r="J382">
        <f>MONTH(Table1[[#This Row],[Posting Date]])</f>
        <v>1</v>
      </c>
      <c r="K382" t="str">
        <f>IF(Table1[[#This Row],[Type]]="IN",VLOOKUP(Table1[[#This Row],[Cust '#]],ClientInfo!$A:$D,4,0),"")</f>
        <v>NET30</v>
      </c>
      <c r="L382" s="1">
        <f>IF(K382="NET30",Table1[[#This Row],[Posting Date]]+30,IF(K382="NET15",Table1[[#This Row],[Posting Date]]+15,IF(K382="COD",Table1[[#This Row],[Posting Date]],"")))</f>
        <v>45331</v>
      </c>
      <c r="M382" s="4">
        <f>IFERROR(IF(Table1[[#This Row],[Type]]="IN",Table1[[#This Row],[RC Date]]-Table1[[#This Row],[Posting Date]],""),"")</f>
        <v>121</v>
      </c>
      <c r="N382">
        <f>IFERROR(IF(Table1[[#This Row],[Balance Due (LC)]]&lt;&gt;0,$S$1-L382,0),"")</f>
        <v>0</v>
      </c>
      <c r="O382">
        <f>IFERROR(IF(Table1[[#This Row],[Type]]="IN",Table1[[#This Row],[C/D (LC)]],IF(Table1[[#This Row],[Type]]="CN",Table1[[#This Row],[C/D (LC)]],"")),"")</f>
        <v>4192.1000000000004</v>
      </c>
      <c r="P382" t="str">
        <f>VLOOKUP(Table1[[#This Row],[Cust '#]],ClientInfo!$A:$B,2,0)</f>
        <v>Client_05</v>
      </c>
    </row>
    <row r="383" spans="1:16">
      <c r="A383" t="s">
        <v>111</v>
      </c>
      <c r="B383" t="s">
        <v>12</v>
      </c>
      <c r="C383">
        <v>140000040</v>
      </c>
      <c r="D383" s="1">
        <v>45308</v>
      </c>
      <c r="E383">
        <v>4907.8999999999996</v>
      </c>
      <c r="F383">
        <v>0</v>
      </c>
      <c r="G383">
        <v>700000615</v>
      </c>
      <c r="H383" s="1">
        <v>45422</v>
      </c>
      <c r="I383">
        <f>YEAR(Table1[[#This Row],[Posting Date]])</f>
        <v>2024</v>
      </c>
      <c r="J383">
        <f>MONTH(Table1[[#This Row],[Posting Date]])</f>
        <v>1</v>
      </c>
      <c r="K383" t="str">
        <f>IF(Table1[[#This Row],[Type]]="IN",VLOOKUP(Table1[[#This Row],[Cust '#]],ClientInfo!$A:$D,4,0),"")</f>
        <v>NET30</v>
      </c>
      <c r="L383" s="1">
        <f>IF(K383="NET30",Table1[[#This Row],[Posting Date]]+30,IF(K383="NET15",Table1[[#This Row],[Posting Date]]+15,IF(K383="COD",Table1[[#This Row],[Posting Date]],"")))</f>
        <v>45338</v>
      </c>
      <c r="M383" s="4">
        <f>IFERROR(IF(Table1[[#This Row],[Type]]="IN",Table1[[#This Row],[RC Date]]-Table1[[#This Row],[Posting Date]],""),"")</f>
        <v>114</v>
      </c>
      <c r="N383">
        <f>IFERROR(IF(Table1[[#This Row],[Balance Due (LC)]]&lt;&gt;0,$S$1-L383,0),"")</f>
        <v>0</v>
      </c>
      <c r="O383">
        <f>IFERROR(IF(Table1[[#This Row],[Type]]="IN",Table1[[#This Row],[C/D (LC)]],IF(Table1[[#This Row],[Type]]="CN",Table1[[#This Row],[C/D (LC)]],"")),"")</f>
        <v>4907.8999999999996</v>
      </c>
      <c r="P383" t="str">
        <f>VLOOKUP(Table1[[#This Row],[Cust '#]],ClientInfo!$A:$B,2,0)</f>
        <v>Client_05</v>
      </c>
    </row>
    <row r="384" spans="1:16">
      <c r="A384" t="s">
        <v>111</v>
      </c>
      <c r="B384" t="s">
        <v>12</v>
      </c>
      <c r="C384">
        <v>140000041</v>
      </c>
      <c r="D384" s="1">
        <v>45315</v>
      </c>
      <c r="E384">
        <v>5785.6</v>
      </c>
      <c r="F384">
        <v>0</v>
      </c>
      <c r="G384">
        <v>700000615</v>
      </c>
      <c r="H384" s="1">
        <v>45422</v>
      </c>
      <c r="I384">
        <f>YEAR(Table1[[#This Row],[Posting Date]])</f>
        <v>2024</v>
      </c>
      <c r="J384">
        <f>MONTH(Table1[[#This Row],[Posting Date]])</f>
        <v>1</v>
      </c>
      <c r="K384" t="str">
        <f>IF(Table1[[#This Row],[Type]]="IN",VLOOKUP(Table1[[#This Row],[Cust '#]],ClientInfo!$A:$D,4,0),"")</f>
        <v>NET30</v>
      </c>
      <c r="L384" s="1">
        <f>IF(K384="NET30",Table1[[#This Row],[Posting Date]]+30,IF(K384="NET15",Table1[[#This Row],[Posting Date]]+15,IF(K384="COD",Table1[[#This Row],[Posting Date]],"")))</f>
        <v>45345</v>
      </c>
      <c r="M384" s="4">
        <f>IFERROR(IF(Table1[[#This Row],[Type]]="IN",Table1[[#This Row],[RC Date]]-Table1[[#This Row],[Posting Date]],""),"")</f>
        <v>107</v>
      </c>
      <c r="N384">
        <f>IFERROR(IF(Table1[[#This Row],[Balance Due (LC)]]&lt;&gt;0,$S$1-L384,0),"")</f>
        <v>0</v>
      </c>
      <c r="O384">
        <f>IFERROR(IF(Table1[[#This Row],[Type]]="IN",Table1[[#This Row],[C/D (LC)]],IF(Table1[[#This Row],[Type]]="CN",Table1[[#This Row],[C/D (LC)]],"")),"")</f>
        <v>5785.6</v>
      </c>
      <c r="P384" t="str">
        <f>VLOOKUP(Table1[[#This Row],[Cust '#]],ClientInfo!$A:$B,2,0)</f>
        <v>Client_05</v>
      </c>
    </row>
    <row r="385" spans="1:16">
      <c r="A385" t="s">
        <v>111</v>
      </c>
      <c r="B385" t="s">
        <v>12</v>
      </c>
      <c r="C385">
        <v>140000042</v>
      </c>
      <c r="D385" s="1">
        <v>45322</v>
      </c>
      <c r="E385">
        <v>10026.959999999999</v>
      </c>
      <c r="F385">
        <v>0</v>
      </c>
      <c r="G385">
        <v>700000615</v>
      </c>
      <c r="H385" s="1">
        <v>45422</v>
      </c>
      <c r="I385">
        <f>YEAR(Table1[[#This Row],[Posting Date]])</f>
        <v>2024</v>
      </c>
      <c r="J385">
        <f>MONTH(Table1[[#This Row],[Posting Date]])</f>
        <v>1</v>
      </c>
      <c r="K385" t="str">
        <f>IF(Table1[[#This Row],[Type]]="IN",VLOOKUP(Table1[[#This Row],[Cust '#]],ClientInfo!$A:$D,4,0),"")</f>
        <v>NET30</v>
      </c>
      <c r="L385" s="1">
        <f>IF(K385="NET30",Table1[[#This Row],[Posting Date]]+30,IF(K385="NET15",Table1[[#This Row],[Posting Date]]+15,IF(K385="COD",Table1[[#This Row],[Posting Date]],"")))</f>
        <v>45352</v>
      </c>
      <c r="M385" s="4">
        <f>IFERROR(IF(Table1[[#This Row],[Type]]="IN",Table1[[#This Row],[RC Date]]-Table1[[#This Row],[Posting Date]],""),"")</f>
        <v>100</v>
      </c>
      <c r="N385">
        <f>IFERROR(IF(Table1[[#This Row],[Balance Due (LC)]]&lt;&gt;0,$S$1-L385,0),"")</f>
        <v>0</v>
      </c>
      <c r="O385">
        <f>IFERROR(IF(Table1[[#This Row],[Type]]="IN",Table1[[#This Row],[C/D (LC)]],IF(Table1[[#This Row],[Type]]="CN",Table1[[#This Row],[C/D (LC)]],"")),"")</f>
        <v>10026.959999999999</v>
      </c>
      <c r="P385" t="str">
        <f>VLOOKUP(Table1[[#This Row],[Cust '#]],ClientInfo!$A:$B,2,0)</f>
        <v>Client_05</v>
      </c>
    </row>
    <row r="386" spans="1:16">
      <c r="A386" t="s">
        <v>111</v>
      </c>
      <c r="B386" t="s">
        <v>12</v>
      </c>
      <c r="C386">
        <v>140000043</v>
      </c>
      <c r="D386" s="1">
        <v>45329</v>
      </c>
      <c r="E386">
        <v>2088.1</v>
      </c>
      <c r="F386">
        <v>0</v>
      </c>
      <c r="G386">
        <v>700000615</v>
      </c>
      <c r="H386" s="1">
        <v>45422</v>
      </c>
      <c r="I386">
        <f>YEAR(Table1[[#This Row],[Posting Date]])</f>
        <v>2024</v>
      </c>
      <c r="J386">
        <f>MONTH(Table1[[#This Row],[Posting Date]])</f>
        <v>2</v>
      </c>
      <c r="K386" t="str">
        <f>IF(Table1[[#This Row],[Type]]="IN",VLOOKUP(Table1[[#This Row],[Cust '#]],ClientInfo!$A:$D,4,0),"")</f>
        <v>NET30</v>
      </c>
      <c r="L386" s="1">
        <f>IF(K386="NET30",Table1[[#This Row],[Posting Date]]+30,IF(K386="NET15",Table1[[#This Row],[Posting Date]]+15,IF(K386="COD",Table1[[#This Row],[Posting Date]],"")))</f>
        <v>45359</v>
      </c>
      <c r="M386" s="4">
        <f>IFERROR(IF(Table1[[#This Row],[Type]]="IN",Table1[[#This Row],[RC Date]]-Table1[[#This Row],[Posting Date]],""),"")</f>
        <v>93</v>
      </c>
      <c r="N386">
        <f>IFERROR(IF(Table1[[#This Row],[Balance Due (LC)]]&lt;&gt;0,$S$1-L386,0),"")</f>
        <v>0</v>
      </c>
      <c r="O386">
        <f>IFERROR(IF(Table1[[#This Row],[Type]]="IN",Table1[[#This Row],[C/D (LC)]],IF(Table1[[#This Row],[Type]]="CN",Table1[[#This Row],[C/D (LC)]],"")),"")</f>
        <v>2088.1</v>
      </c>
      <c r="P386" t="str">
        <f>VLOOKUP(Table1[[#This Row],[Cust '#]],ClientInfo!$A:$B,2,0)</f>
        <v>Client_05</v>
      </c>
    </row>
    <row r="387" spans="1:16">
      <c r="A387" t="s">
        <v>111</v>
      </c>
      <c r="B387" t="s">
        <v>12</v>
      </c>
      <c r="C387">
        <v>140000044</v>
      </c>
      <c r="D387" s="1">
        <v>45336</v>
      </c>
      <c r="E387">
        <v>5187.7</v>
      </c>
      <c r="F387">
        <v>0</v>
      </c>
      <c r="G387">
        <v>700000615</v>
      </c>
      <c r="H387" s="1">
        <v>45422</v>
      </c>
      <c r="I387">
        <f>YEAR(Table1[[#This Row],[Posting Date]])</f>
        <v>2024</v>
      </c>
      <c r="J387">
        <f>MONTH(Table1[[#This Row],[Posting Date]])</f>
        <v>2</v>
      </c>
      <c r="K387" t="str">
        <f>IF(Table1[[#This Row],[Type]]="IN",VLOOKUP(Table1[[#This Row],[Cust '#]],ClientInfo!$A:$D,4,0),"")</f>
        <v>NET30</v>
      </c>
      <c r="L387" s="1">
        <f>IF(K387="NET30",Table1[[#This Row],[Posting Date]]+30,IF(K387="NET15",Table1[[#This Row],[Posting Date]]+15,IF(K387="COD",Table1[[#This Row],[Posting Date]],"")))</f>
        <v>45366</v>
      </c>
      <c r="M387" s="4">
        <f>IFERROR(IF(Table1[[#This Row],[Type]]="IN",Table1[[#This Row],[RC Date]]-Table1[[#This Row],[Posting Date]],""),"")</f>
        <v>86</v>
      </c>
      <c r="N387">
        <f>IFERROR(IF(Table1[[#This Row],[Balance Due (LC)]]&lt;&gt;0,$S$1-L387,0),"")</f>
        <v>0</v>
      </c>
      <c r="O387">
        <f>IFERROR(IF(Table1[[#This Row],[Type]]="IN",Table1[[#This Row],[C/D (LC)]],IF(Table1[[#This Row],[Type]]="CN",Table1[[#This Row],[C/D (LC)]],"")),"")</f>
        <v>5187.7</v>
      </c>
      <c r="P387" t="str">
        <f>VLOOKUP(Table1[[#This Row],[Cust '#]],ClientInfo!$A:$B,2,0)</f>
        <v>Client_05</v>
      </c>
    </row>
    <row r="388" spans="1:16">
      <c r="A388" t="s">
        <v>111</v>
      </c>
      <c r="B388" t="s">
        <v>12</v>
      </c>
      <c r="C388">
        <v>140000045</v>
      </c>
      <c r="D388" s="1">
        <v>45350</v>
      </c>
      <c r="E388">
        <v>7826.62</v>
      </c>
      <c r="F388">
        <v>0</v>
      </c>
      <c r="G388">
        <v>700000615</v>
      </c>
      <c r="H388" s="1">
        <v>45422</v>
      </c>
      <c r="I388">
        <f>YEAR(Table1[[#This Row],[Posting Date]])</f>
        <v>2024</v>
      </c>
      <c r="J388">
        <f>MONTH(Table1[[#This Row],[Posting Date]])</f>
        <v>2</v>
      </c>
      <c r="K388" t="str">
        <f>IF(Table1[[#This Row],[Type]]="IN",VLOOKUP(Table1[[#This Row],[Cust '#]],ClientInfo!$A:$D,4,0),"")</f>
        <v>NET30</v>
      </c>
      <c r="L388" s="1">
        <f>IF(K388="NET30",Table1[[#This Row],[Posting Date]]+30,IF(K388="NET15",Table1[[#This Row],[Posting Date]]+15,IF(K388="COD",Table1[[#This Row],[Posting Date]],"")))</f>
        <v>45380</v>
      </c>
      <c r="M388" s="4">
        <f>IFERROR(IF(Table1[[#This Row],[Type]]="IN",Table1[[#This Row],[RC Date]]-Table1[[#This Row],[Posting Date]],""),"")</f>
        <v>72</v>
      </c>
      <c r="N388">
        <f>IFERROR(IF(Table1[[#This Row],[Balance Due (LC)]]&lt;&gt;0,$S$1-L388,0),"")</f>
        <v>0</v>
      </c>
      <c r="O388">
        <f>IFERROR(IF(Table1[[#This Row],[Type]]="IN",Table1[[#This Row],[C/D (LC)]],IF(Table1[[#This Row],[Type]]="CN",Table1[[#This Row],[C/D (LC)]],"")),"")</f>
        <v>7826.62</v>
      </c>
      <c r="P388" t="str">
        <f>VLOOKUP(Table1[[#This Row],[Cust '#]],ClientInfo!$A:$B,2,0)</f>
        <v>Client_05</v>
      </c>
    </row>
    <row r="389" spans="1:16">
      <c r="A389" t="s">
        <v>111</v>
      </c>
      <c r="B389" t="s">
        <v>12</v>
      </c>
      <c r="C389">
        <v>140004552</v>
      </c>
      <c r="D389" s="1">
        <v>45357</v>
      </c>
      <c r="E389">
        <v>5204.1000000000004</v>
      </c>
      <c r="F389">
        <v>0</v>
      </c>
      <c r="G389">
        <v>700000615</v>
      </c>
      <c r="H389" s="1">
        <v>45422</v>
      </c>
      <c r="I389">
        <f>YEAR(Table1[[#This Row],[Posting Date]])</f>
        <v>2024</v>
      </c>
      <c r="J389">
        <f>MONTH(Table1[[#This Row],[Posting Date]])</f>
        <v>3</v>
      </c>
      <c r="K389" t="str">
        <f>IF(Table1[[#This Row],[Type]]="IN",VLOOKUP(Table1[[#This Row],[Cust '#]],ClientInfo!$A:$D,4,0),"")</f>
        <v>NET30</v>
      </c>
      <c r="L389" s="1">
        <f>IF(K389="NET30",Table1[[#This Row],[Posting Date]]+30,IF(K389="NET15",Table1[[#This Row],[Posting Date]]+15,IF(K389="COD",Table1[[#This Row],[Posting Date]],"")))</f>
        <v>45387</v>
      </c>
      <c r="M389" s="4">
        <f>IFERROR(IF(Table1[[#This Row],[Type]]="IN",Table1[[#This Row],[RC Date]]-Table1[[#This Row],[Posting Date]],""),"")</f>
        <v>65</v>
      </c>
      <c r="N389">
        <f>IFERROR(IF(Table1[[#This Row],[Balance Due (LC)]]&lt;&gt;0,$S$1-L389,0),"")</f>
        <v>0</v>
      </c>
      <c r="O389">
        <f>IFERROR(IF(Table1[[#This Row],[Type]]="IN",Table1[[#This Row],[C/D (LC)]],IF(Table1[[#This Row],[Type]]="CN",Table1[[#This Row],[C/D (LC)]],"")),"")</f>
        <v>5204.1000000000004</v>
      </c>
      <c r="P389" t="str">
        <f>VLOOKUP(Table1[[#This Row],[Cust '#]],ClientInfo!$A:$B,2,0)</f>
        <v>Client_05</v>
      </c>
    </row>
    <row r="390" spans="1:16">
      <c r="A390" t="s">
        <v>111</v>
      </c>
      <c r="B390" t="s">
        <v>12</v>
      </c>
      <c r="C390">
        <v>140004932</v>
      </c>
      <c r="D390" s="1">
        <v>45364</v>
      </c>
      <c r="E390">
        <v>5300.7</v>
      </c>
      <c r="F390">
        <v>0</v>
      </c>
      <c r="G390">
        <v>700000615</v>
      </c>
      <c r="H390" s="1">
        <v>45422</v>
      </c>
      <c r="I390">
        <f>YEAR(Table1[[#This Row],[Posting Date]])</f>
        <v>2024</v>
      </c>
      <c r="J390">
        <f>MONTH(Table1[[#This Row],[Posting Date]])</f>
        <v>3</v>
      </c>
      <c r="K390" t="str">
        <f>IF(Table1[[#This Row],[Type]]="IN",VLOOKUP(Table1[[#This Row],[Cust '#]],ClientInfo!$A:$D,4,0),"")</f>
        <v>NET30</v>
      </c>
      <c r="L390" s="1">
        <f>IF(K390="NET30",Table1[[#This Row],[Posting Date]]+30,IF(K390="NET15",Table1[[#This Row],[Posting Date]]+15,IF(K390="COD",Table1[[#This Row],[Posting Date]],"")))</f>
        <v>45394</v>
      </c>
      <c r="M390" s="4">
        <f>IFERROR(IF(Table1[[#This Row],[Type]]="IN",Table1[[#This Row],[RC Date]]-Table1[[#This Row],[Posting Date]],""),"")</f>
        <v>58</v>
      </c>
      <c r="N390">
        <f>IFERROR(IF(Table1[[#This Row],[Balance Due (LC)]]&lt;&gt;0,$S$1-L390,0),"")</f>
        <v>0</v>
      </c>
      <c r="O390">
        <f>IFERROR(IF(Table1[[#This Row],[Type]]="IN",Table1[[#This Row],[C/D (LC)]],IF(Table1[[#This Row],[Type]]="CN",Table1[[#This Row],[C/D (LC)]],"")),"")</f>
        <v>5300.7</v>
      </c>
      <c r="P390" t="str">
        <f>VLOOKUP(Table1[[#This Row],[Cust '#]],ClientInfo!$A:$B,2,0)</f>
        <v>Client_05</v>
      </c>
    </row>
    <row r="391" spans="1:16">
      <c r="A391" t="s">
        <v>111</v>
      </c>
      <c r="B391" t="s">
        <v>13</v>
      </c>
      <c r="C391">
        <v>150000175</v>
      </c>
      <c r="D391" s="1">
        <v>45370</v>
      </c>
      <c r="E391">
        <v>-174.24</v>
      </c>
      <c r="F391">
        <v>0</v>
      </c>
      <c r="G391">
        <v>700000615</v>
      </c>
      <c r="H391" s="1">
        <v>45422</v>
      </c>
      <c r="I391">
        <f>YEAR(Table1[[#This Row],[Posting Date]])</f>
        <v>2024</v>
      </c>
      <c r="J391">
        <f>MONTH(Table1[[#This Row],[Posting Date]])</f>
        <v>3</v>
      </c>
      <c r="K391" t="str">
        <f>IF(Table1[[#This Row],[Type]]="IN",VLOOKUP(Table1[[#This Row],[Cust '#]],ClientInfo!$A:$D,4,0),"")</f>
        <v/>
      </c>
      <c r="L391" s="1" t="str">
        <f>IF(K391="NET30",Table1[[#This Row],[Posting Date]]+30,IF(K391="NET15",Table1[[#This Row],[Posting Date]]+15,IF(K391="COD",Table1[[#This Row],[Posting Date]],"")))</f>
        <v/>
      </c>
      <c r="M391" s="4" t="str">
        <f>IFERROR(IF(Table1[[#This Row],[Type]]="IN",Table1[[#This Row],[RC Date]]-Table1[[#This Row],[Posting Date]],""),"")</f>
        <v/>
      </c>
      <c r="N391">
        <f>IFERROR(IF(Table1[[#This Row],[Balance Due (LC)]]&lt;&gt;0,$S$1-L391,0),"")</f>
        <v>0</v>
      </c>
      <c r="O391">
        <f>IFERROR(IF(Table1[[#This Row],[Type]]="IN",Table1[[#This Row],[C/D (LC)]],IF(Table1[[#This Row],[Type]]="CN",Table1[[#This Row],[C/D (LC)]],"")),"")</f>
        <v>-174.24</v>
      </c>
      <c r="P391" t="str">
        <f>VLOOKUP(Table1[[#This Row],[Cust '#]],ClientInfo!$A:$B,2,0)</f>
        <v>Client_05</v>
      </c>
    </row>
    <row r="392" spans="1:16">
      <c r="A392" t="s">
        <v>111</v>
      </c>
      <c r="B392" t="s">
        <v>12</v>
      </c>
      <c r="C392">
        <v>140005233</v>
      </c>
      <c r="D392" s="1">
        <v>45371</v>
      </c>
      <c r="E392">
        <v>4864.3</v>
      </c>
      <c r="F392">
        <v>0</v>
      </c>
      <c r="G392">
        <v>700000615</v>
      </c>
      <c r="H392" s="1">
        <v>45422</v>
      </c>
      <c r="I392">
        <f>YEAR(Table1[[#This Row],[Posting Date]])</f>
        <v>2024</v>
      </c>
      <c r="J392">
        <f>MONTH(Table1[[#This Row],[Posting Date]])</f>
        <v>3</v>
      </c>
      <c r="K392" t="str">
        <f>IF(Table1[[#This Row],[Type]]="IN",VLOOKUP(Table1[[#This Row],[Cust '#]],ClientInfo!$A:$D,4,0),"")</f>
        <v>NET30</v>
      </c>
      <c r="L392" s="1">
        <f>IF(K392="NET30",Table1[[#This Row],[Posting Date]]+30,IF(K392="NET15",Table1[[#This Row],[Posting Date]]+15,IF(K392="COD",Table1[[#This Row],[Posting Date]],"")))</f>
        <v>45401</v>
      </c>
      <c r="M392" s="4">
        <f>IFERROR(IF(Table1[[#This Row],[Type]]="IN",Table1[[#This Row],[RC Date]]-Table1[[#This Row],[Posting Date]],""),"")</f>
        <v>51</v>
      </c>
      <c r="N392">
        <f>IFERROR(IF(Table1[[#This Row],[Balance Due (LC)]]&lt;&gt;0,$S$1-L392,0),"")</f>
        <v>0</v>
      </c>
      <c r="O392">
        <f>IFERROR(IF(Table1[[#This Row],[Type]]="IN",Table1[[#This Row],[C/D (LC)]],IF(Table1[[#This Row],[Type]]="CN",Table1[[#This Row],[C/D (LC)]],"")),"")</f>
        <v>4864.3</v>
      </c>
      <c r="P392" t="str">
        <f>VLOOKUP(Table1[[#This Row],[Cust '#]],ClientInfo!$A:$B,2,0)</f>
        <v>Client_05</v>
      </c>
    </row>
    <row r="393" spans="1:16">
      <c r="A393" t="s">
        <v>111</v>
      </c>
      <c r="B393" t="s">
        <v>13</v>
      </c>
      <c r="C393">
        <v>150000218</v>
      </c>
      <c r="D393" s="1">
        <v>45376</v>
      </c>
      <c r="E393">
        <v>-64</v>
      </c>
      <c r="F393">
        <v>0</v>
      </c>
      <c r="G393">
        <v>700000615</v>
      </c>
      <c r="H393" s="1">
        <v>45422</v>
      </c>
      <c r="I393">
        <f>YEAR(Table1[[#This Row],[Posting Date]])</f>
        <v>2024</v>
      </c>
      <c r="J393">
        <f>MONTH(Table1[[#This Row],[Posting Date]])</f>
        <v>3</v>
      </c>
      <c r="K393" t="str">
        <f>IF(Table1[[#This Row],[Type]]="IN",VLOOKUP(Table1[[#This Row],[Cust '#]],ClientInfo!$A:$D,4,0),"")</f>
        <v/>
      </c>
      <c r="L393" s="1" t="str">
        <f>IF(K393="NET30",Table1[[#This Row],[Posting Date]]+30,IF(K393="NET15",Table1[[#This Row],[Posting Date]]+15,IF(K393="COD",Table1[[#This Row],[Posting Date]],"")))</f>
        <v/>
      </c>
      <c r="M393" s="4" t="str">
        <f>IFERROR(IF(Table1[[#This Row],[Type]]="IN",Table1[[#This Row],[RC Date]]-Table1[[#This Row],[Posting Date]],""),"")</f>
        <v/>
      </c>
      <c r="N393">
        <f>IFERROR(IF(Table1[[#This Row],[Balance Due (LC)]]&lt;&gt;0,$S$1-L393,0),"")</f>
        <v>0</v>
      </c>
      <c r="O393">
        <f>IFERROR(IF(Table1[[#This Row],[Type]]="IN",Table1[[#This Row],[C/D (LC)]],IF(Table1[[#This Row],[Type]]="CN",Table1[[#This Row],[C/D (LC)]],"")),"")</f>
        <v>-64</v>
      </c>
      <c r="P393" t="str">
        <f>VLOOKUP(Table1[[#This Row],[Cust '#]],ClientInfo!$A:$B,2,0)</f>
        <v>Client_05</v>
      </c>
    </row>
    <row r="394" spans="1:16">
      <c r="A394" t="s">
        <v>111</v>
      </c>
      <c r="B394" t="s">
        <v>12</v>
      </c>
      <c r="C394">
        <v>140005559</v>
      </c>
      <c r="D394" s="1">
        <v>45378</v>
      </c>
      <c r="E394">
        <v>11460</v>
      </c>
      <c r="F394">
        <v>0</v>
      </c>
      <c r="G394">
        <v>700000616</v>
      </c>
      <c r="H394" s="1">
        <v>45422</v>
      </c>
      <c r="I394">
        <f>YEAR(Table1[[#This Row],[Posting Date]])</f>
        <v>2024</v>
      </c>
      <c r="J394">
        <f>MONTH(Table1[[#This Row],[Posting Date]])</f>
        <v>3</v>
      </c>
      <c r="K394" t="str">
        <f>IF(Table1[[#This Row],[Type]]="IN",VLOOKUP(Table1[[#This Row],[Cust '#]],ClientInfo!$A:$D,4,0),"")</f>
        <v>NET30</v>
      </c>
      <c r="L394" s="1">
        <f>IF(K394="NET30",Table1[[#This Row],[Posting Date]]+30,IF(K394="NET15",Table1[[#This Row],[Posting Date]]+15,IF(K394="COD",Table1[[#This Row],[Posting Date]],"")))</f>
        <v>45408</v>
      </c>
      <c r="M394" s="4">
        <f>IFERROR(IF(Table1[[#This Row],[Type]]="IN",Table1[[#This Row],[RC Date]]-Table1[[#This Row],[Posting Date]],""),"")</f>
        <v>44</v>
      </c>
      <c r="N394">
        <f>IFERROR(IF(Table1[[#This Row],[Balance Due (LC)]]&lt;&gt;0,$S$1-L394,0),"")</f>
        <v>0</v>
      </c>
      <c r="O394">
        <f>IFERROR(IF(Table1[[#This Row],[Type]]="IN",Table1[[#This Row],[C/D (LC)]],IF(Table1[[#This Row],[Type]]="CN",Table1[[#This Row],[C/D (LC)]],"")),"")</f>
        <v>11460</v>
      </c>
      <c r="P394" t="str">
        <f>VLOOKUP(Table1[[#This Row],[Cust '#]],ClientInfo!$A:$B,2,0)</f>
        <v>Client_05</v>
      </c>
    </row>
    <row r="395" spans="1:16">
      <c r="A395" t="s">
        <v>111</v>
      </c>
      <c r="B395" t="s">
        <v>12</v>
      </c>
      <c r="C395">
        <v>140005890</v>
      </c>
      <c r="D395" s="1">
        <v>45385</v>
      </c>
      <c r="E395">
        <v>2594.3000000000002</v>
      </c>
      <c r="F395">
        <v>0</v>
      </c>
      <c r="G395">
        <v>700000616</v>
      </c>
      <c r="H395" s="1">
        <v>45422</v>
      </c>
      <c r="I395">
        <f>YEAR(Table1[[#This Row],[Posting Date]])</f>
        <v>2024</v>
      </c>
      <c r="J395">
        <f>MONTH(Table1[[#This Row],[Posting Date]])</f>
        <v>4</v>
      </c>
      <c r="K395" t="str">
        <f>IF(Table1[[#This Row],[Type]]="IN",VLOOKUP(Table1[[#This Row],[Cust '#]],ClientInfo!$A:$D,4,0),"")</f>
        <v>NET30</v>
      </c>
      <c r="L395" s="1">
        <f>IF(K395="NET30",Table1[[#This Row],[Posting Date]]+30,IF(K395="NET15",Table1[[#This Row],[Posting Date]]+15,IF(K395="COD",Table1[[#This Row],[Posting Date]],"")))</f>
        <v>45415</v>
      </c>
      <c r="M395" s="4">
        <f>IFERROR(IF(Table1[[#This Row],[Type]]="IN",Table1[[#This Row],[RC Date]]-Table1[[#This Row],[Posting Date]],""),"")</f>
        <v>37</v>
      </c>
      <c r="N395">
        <f>IFERROR(IF(Table1[[#This Row],[Balance Due (LC)]]&lt;&gt;0,$S$1-L395,0),"")</f>
        <v>0</v>
      </c>
      <c r="O395">
        <f>IFERROR(IF(Table1[[#This Row],[Type]]="IN",Table1[[#This Row],[C/D (LC)]],IF(Table1[[#This Row],[Type]]="CN",Table1[[#This Row],[C/D (LC)]],"")),"")</f>
        <v>2594.3000000000002</v>
      </c>
      <c r="P395" t="str">
        <f>VLOOKUP(Table1[[#This Row],[Cust '#]],ClientInfo!$A:$B,2,0)</f>
        <v>Client_05</v>
      </c>
    </row>
    <row r="396" spans="1:16">
      <c r="A396" t="s">
        <v>111</v>
      </c>
      <c r="B396" t="s">
        <v>12</v>
      </c>
      <c r="C396">
        <v>140006565</v>
      </c>
      <c r="D396" s="1">
        <v>45399</v>
      </c>
      <c r="E396">
        <v>7384.4</v>
      </c>
      <c r="F396">
        <v>0</v>
      </c>
      <c r="G396">
        <v>700000616</v>
      </c>
      <c r="H396" s="1">
        <v>45422</v>
      </c>
      <c r="I396">
        <f>YEAR(Table1[[#This Row],[Posting Date]])</f>
        <v>2024</v>
      </c>
      <c r="J396">
        <f>MONTH(Table1[[#This Row],[Posting Date]])</f>
        <v>4</v>
      </c>
      <c r="K396" t="str">
        <f>IF(Table1[[#This Row],[Type]]="IN",VLOOKUP(Table1[[#This Row],[Cust '#]],ClientInfo!$A:$D,4,0),"")</f>
        <v>NET30</v>
      </c>
      <c r="L396" s="1">
        <f>IF(K396="NET30",Table1[[#This Row],[Posting Date]]+30,IF(K396="NET15",Table1[[#This Row],[Posting Date]]+15,IF(K396="COD",Table1[[#This Row],[Posting Date]],"")))</f>
        <v>45429</v>
      </c>
      <c r="M396" s="4">
        <f>IFERROR(IF(Table1[[#This Row],[Type]]="IN",Table1[[#This Row],[RC Date]]-Table1[[#This Row],[Posting Date]],""),"")</f>
        <v>23</v>
      </c>
      <c r="N396">
        <f>IFERROR(IF(Table1[[#This Row],[Balance Due (LC)]]&lt;&gt;0,$S$1-L396,0),"")</f>
        <v>0</v>
      </c>
      <c r="O396">
        <f>IFERROR(IF(Table1[[#This Row],[Type]]="IN",Table1[[#This Row],[C/D (LC)]],IF(Table1[[#This Row],[Type]]="CN",Table1[[#This Row],[C/D (LC)]],"")),"")</f>
        <v>7384.4</v>
      </c>
      <c r="P396" t="str">
        <f>VLOOKUP(Table1[[#This Row],[Cust '#]],ClientInfo!$A:$B,2,0)</f>
        <v>Client_05</v>
      </c>
    </row>
    <row r="397" spans="1:16">
      <c r="A397" t="s">
        <v>111</v>
      </c>
      <c r="B397" t="s">
        <v>12</v>
      </c>
      <c r="C397">
        <v>140006872</v>
      </c>
      <c r="D397" s="1">
        <v>45406</v>
      </c>
      <c r="E397">
        <v>5702.7</v>
      </c>
      <c r="F397">
        <v>0</v>
      </c>
      <c r="G397">
        <v>700000616</v>
      </c>
      <c r="H397" s="1">
        <v>45422</v>
      </c>
      <c r="I397">
        <f>YEAR(Table1[[#This Row],[Posting Date]])</f>
        <v>2024</v>
      </c>
      <c r="J397">
        <f>MONTH(Table1[[#This Row],[Posting Date]])</f>
        <v>4</v>
      </c>
      <c r="K397" t="str">
        <f>IF(Table1[[#This Row],[Type]]="IN",VLOOKUP(Table1[[#This Row],[Cust '#]],ClientInfo!$A:$D,4,0),"")</f>
        <v>NET30</v>
      </c>
      <c r="L397" s="1">
        <f>IF(K397="NET30",Table1[[#This Row],[Posting Date]]+30,IF(K397="NET15",Table1[[#This Row],[Posting Date]]+15,IF(K397="COD",Table1[[#This Row],[Posting Date]],"")))</f>
        <v>45436</v>
      </c>
      <c r="M397" s="4">
        <f>IFERROR(IF(Table1[[#This Row],[Type]]="IN",Table1[[#This Row],[RC Date]]-Table1[[#This Row],[Posting Date]],""),"")</f>
        <v>16</v>
      </c>
      <c r="N397">
        <f>IFERROR(IF(Table1[[#This Row],[Balance Due (LC)]]&lt;&gt;0,$S$1-L397,0),"")</f>
        <v>0</v>
      </c>
      <c r="O397">
        <f>IFERROR(IF(Table1[[#This Row],[Type]]="IN",Table1[[#This Row],[C/D (LC)]],IF(Table1[[#This Row],[Type]]="CN",Table1[[#This Row],[C/D (LC)]],"")),"")</f>
        <v>5702.7</v>
      </c>
      <c r="P397" t="str">
        <f>VLOOKUP(Table1[[#This Row],[Cust '#]],ClientInfo!$A:$B,2,0)</f>
        <v>Client_05</v>
      </c>
    </row>
    <row r="398" spans="1:16">
      <c r="A398" t="s">
        <v>111</v>
      </c>
      <c r="B398" t="s">
        <v>12</v>
      </c>
      <c r="C398">
        <v>140007530</v>
      </c>
      <c r="D398" s="1">
        <v>45420</v>
      </c>
      <c r="E398">
        <v>3720.1</v>
      </c>
      <c r="F398">
        <v>0</v>
      </c>
      <c r="G398">
        <v>700001134</v>
      </c>
      <c r="H398" s="1">
        <v>45491</v>
      </c>
      <c r="I398">
        <f>YEAR(Table1[[#This Row],[Posting Date]])</f>
        <v>2024</v>
      </c>
      <c r="J398">
        <f>MONTH(Table1[[#This Row],[Posting Date]])</f>
        <v>5</v>
      </c>
      <c r="K398" t="str">
        <f>IF(Table1[[#This Row],[Type]]="IN",VLOOKUP(Table1[[#This Row],[Cust '#]],ClientInfo!$A:$D,4,0),"")</f>
        <v>NET30</v>
      </c>
      <c r="L398" s="1">
        <f>IF(K398="NET30",Table1[[#This Row],[Posting Date]]+30,IF(K398="NET15",Table1[[#This Row],[Posting Date]]+15,IF(K398="COD",Table1[[#This Row],[Posting Date]],"")))</f>
        <v>45450</v>
      </c>
      <c r="M398" s="4">
        <f>IFERROR(IF(Table1[[#This Row],[Type]]="IN",Table1[[#This Row],[RC Date]]-Table1[[#This Row],[Posting Date]],""),"")</f>
        <v>71</v>
      </c>
      <c r="N398">
        <f>IFERROR(IF(Table1[[#This Row],[Balance Due (LC)]]&lt;&gt;0,$S$1-L398,0),"")</f>
        <v>0</v>
      </c>
      <c r="O398">
        <f>IFERROR(IF(Table1[[#This Row],[Type]]="IN",Table1[[#This Row],[C/D (LC)]],IF(Table1[[#This Row],[Type]]="CN",Table1[[#This Row],[C/D (LC)]],"")),"")</f>
        <v>3720.1</v>
      </c>
      <c r="P398" t="str">
        <f>VLOOKUP(Table1[[#This Row],[Cust '#]],ClientInfo!$A:$B,2,0)</f>
        <v>Client_05</v>
      </c>
    </row>
    <row r="399" spans="1:16">
      <c r="A399" t="s">
        <v>111</v>
      </c>
      <c r="B399" t="s">
        <v>13</v>
      </c>
      <c r="C399">
        <v>150000302</v>
      </c>
      <c r="D399" s="1">
        <v>45420</v>
      </c>
      <c r="E399">
        <v>-24</v>
      </c>
      <c r="F399">
        <v>0</v>
      </c>
      <c r="G399">
        <v>700001134</v>
      </c>
      <c r="H399" s="1">
        <v>45491</v>
      </c>
      <c r="I399">
        <f>YEAR(Table1[[#This Row],[Posting Date]])</f>
        <v>2024</v>
      </c>
      <c r="J399">
        <f>MONTH(Table1[[#This Row],[Posting Date]])</f>
        <v>5</v>
      </c>
      <c r="K399" t="str">
        <f>IF(Table1[[#This Row],[Type]]="IN",VLOOKUP(Table1[[#This Row],[Cust '#]],ClientInfo!$A:$D,4,0),"")</f>
        <v/>
      </c>
      <c r="L399" s="1" t="str">
        <f>IF(K399="NET30",Table1[[#This Row],[Posting Date]]+30,IF(K399="NET15",Table1[[#This Row],[Posting Date]]+15,IF(K399="COD",Table1[[#This Row],[Posting Date]],"")))</f>
        <v/>
      </c>
      <c r="M399" s="4" t="str">
        <f>IFERROR(IF(Table1[[#This Row],[Type]]="IN",Table1[[#This Row],[RC Date]]-Table1[[#This Row],[Posting Date]],""),"")</f>
        <v/>
      </c>
      <c r="N399">
        <f>IFERROR(IF(Table1[[#This Row],[Balance Due (LC)]]&lt;&gt;0,$S$1-L399,0),"")</f>
        <v>0</v>
      </c>
      <c r="O399">
        <f>IFERROR(IF(Table1[[#This Row],[Type]]="IN",Table1[[#This Row],[C/D (LC)]],IF(Table1[[#This Row],[Type]]="CN",Table1[[#This Row],[C/D (LC)]],"")),"")</f>
        <v>-24</v>
      </c>
      <c r="P399" t="str">
        <f>VLOOKUP(Table1[[#This Row],[Cust '#]],ClientInfo!$A:$B,2,0)</f>
        <v>Client_05</v>
      </c>
    </row>
    <row r="400" spans="1:16">
      <c r="A400" t="s">
        <v>111</v>
      </c>
      <c r="B400" t="s">
        <v>10</v>
      </c>
      <c r="C400">
        <v>700000615</v>
      </c>
      <c r="D400" s="1">
        <v>45422</v>
      </c>
      <c r="E400">
        <v>-59983.64</v>
      </c>
      <c r="F400">
        <v>0</v>
      </c>
      <c r="G400">
        <v>700000615</v>
      </c>
      <c r="H400" s="1">
        <v>45422</v>
      </c>
      <c r="I400">
        <f>YEAR(Table1[[#This Row],[Posting Date]])</f>
        <v>2024</v>
      </c>
      <c r="J400">
        <f>MONTH(Table1[[#This Row],[Posting Date]])</f>
        <v>5</v>
      </c>
      <c r="K400" t="str">
        <f>IF(Table1[[#This Row],[Type]]="IN",VLOOKUP(Table1[[#This Row],[Cust '#]],ClientInfo!$A:$D,4,0),"")</f>
        <v/>
      </c>
      <c r="L400" s="1" t="str">
        <f>IF(K400="NET30",Table1[[#This Row],[Posting Date]]+30,IF(K400="NET15",Table1[[#This Row],[Posting Date]]+15,IF(K400="COD",Table1[[#This Row],[Posting Date]],"")))</f>
        <v/>
      </c>
      <c r="M400" s="4" t="str">
        <f>IFERROR(IF(Table1[[#This Row],[Type]]="IN",Table1[[#This Row],[RC Date]]-Table1[[#This Row],[Posting Date]],""),"")</f>
        <v/>
      </c>
      <c r="N400">
        <f>IFERROR(IF(Table1[[#This Row],[Balance Due (LC)]]&lt;&gt;0,$S$1-L400,0),"")</f>
        <v>0</v>
      </c>
      <c r="O400" t="str">
        <f>IFERROR(IF(Table1[[#This Row],[Type]]="IN",Table1[[#This Row],[C/D (LC)]],IF(Table1[[#This Row],[Type]]="CN",Table1[[#This Row],[C/D (LC)]],"")),"")</f>
        <v/>
      </c>
      <c r="P400" t="str">
        <f>VLOOKUP(Table1[[#This Row],[Cust '#]],ClientInfo!$A:$B,2,0)</f>
        <v>Client_05</v>
      </c>
    </row>
    <row r="401" spans="1:16">
      <c r="A401" t="s">
        <v>111</v>
      </c>
      <c r="B401" t="s">
        <v>10</v>
      </c>
      <c r="C401">
        <v>700000616</v>
      </c>
      <c r="D401" s="1">
        <v>45422</v>
      </c>
      <c r="E401">
        <v>-27141.4</v>
      </c>
      <c r="F401">
        <v>0</v>
      </c>
      <c r="G401">
        <v>700000616</v>
      </c>
      <c r="H401" s="1">
        <v>45422</v>
      </c>
      <c r="I401">
        <f>YEAR(Table1[[#This Row],[Posting Date]])</f>
        <v>2024</v>
      </c>
      <c r="J401">
        <f>MONTH(Table1[[#This Row],[Posting Date]])</f>
        <v>5</v>
      </c>
      <c r="K401" t="str">
        <f>IF(Table1[[#This Row],[Type]]="IN",VLOOKUP(Table1[[#This Row],[Cust '#]],ClientInfo!$A:$D,4,0),"")</f>
        <v/>
      </c>
      <c r="L401" s="1" t="str">
        <f>IF(K401="NET30",Table1[[#This Row],[Posting Date]]+30,IF(K401="NET15",Table1[[#This Row],[Posting Date]]+15,IF(K401="COD",Table1[[#This Row],[Posting Date]],"")))</f>
        <v/>
      </c>
      <c r="M401" s="4" t="str">
        <f>IFERROR(IF(Table1[[#This Row],[Type]]="IN",Table1[[#This Row],[RC Date]]-Table1[[#This Row],[Posting Date]],""),"")</f>
        <v/>
      </c>
      <c r="N401">
        <f>IFERROR(IF(Table1[[#This Row],[Balance Due (LC)]]&lt;&gt;0,$S$1-L401,0),"")</f>
        <v>0</v>
      </c>
      <c r="O401" t="str">
        <f>IFERROR(IF(Table1[[#This Row],[Type]]="IN",Table1[[#This Row],[C/D (LC)]],IF(Table1[[#This Row],[Type]]="CN",Table1[[#This Row],[C/D (LC)]],"")),"")</f>
        <v/>
      </c>
      <c r="P401" t="str">
        <f>VLOOKUP(Table1[[#This Row],[Cust '#]],ClientInfo!$A:$B,2,0)</f>
        <v>Client_05</v>
      </c>
    </row>
    <row r="402" spans="1:16">
      <c r="A402" t="s">
        <v>111</v>
      </c>
      <c r="B402" t="s">
        <v>12</v>
      </c>
      <c r="C402">
        <v>140007832</v>
      </c>
      <c r="D402" s="1">
        <v>45427</v>
      </c>
      <c r="E402">
        <v>3708</v>
      </c>
      <c r="F402">
        <v>0</v>
      </c>
      <c r="G402">
        <v>700001134</v>
      </c>
      <c r="H402" s="1">
        <v>45491</v>
      </c>
      <c r="I402">
        <f>YEAR(Table1[[#This Row],[Posting Date]])</f>
        <v>2024</v>
      </c>
      <c r="J402">
        <f>MONTH(Table1[[#This Row],[Posting Date]])</f>
        <v>5</v>
      </c>
      <c r="K402" t="str">
        <f>IF(Table1[[#This Row],[Type]]="IN",VLOOKUP(Table1[[#This Row],[Cust '#]],ClientInfo!$A:$D,4,0),"")</f>
        <v>NET30</v>
      </c>
      <c r="L402" s="1">
        <f>IF(K402="NET30",Table1[[#This Row],[Posting Date]]+30,IF(K402="NET15",Table1[[#This Row],[Posting Date]]+15,IF(K402="COD",Table1[[#This Row],[Posting Date]],"")))</f>
        <v>45457</v>
      </c>
      <c r="M402" s="4">
        <f>IFERROR(IF(Table1[[#This Row],[Type]]="IN",Table1[[#This Row],[RC Date]]-Table1[[#This Row],[Posting Date]],""),"")</f>
        <v>64</v>
      </c>
      <c r="N402">
        <f>IFERROR(IF(Table1[[#This Row],[Balance Due (LC)]]&lt;&gt;0,$S$1-L402,0),"")</f>
        <v>0</v>
      </c>
      <c r="O402">
        <f>IFERROR(IF(Table1[[#This Row],[Type]]="IN",Table1[[#This Row],[C/D (LC)]],IF(Table1[[#This Row],[Type]]="CN",Table1[[#This Row],[C/D (LC)]],"")),"")</f>
        <v>3708</v>
      </c>
      <c r="P402" t="str">
        <f>VLOOKUP(Table1[[#This Row],[Cust '#]],ClientInfo!$A:$B,2,0)</f>
        <v>Client_05</v>
      </c>
    </row>
    <row r="403" spans="1:16">
      <c r="A403" t="s">
        <v>111</v>
      </c>
      <c r="B403" t="s">
        <v>13</v>
      </c>
      <c r="C403">
        <v>150000324</v>
      </c>
      <c r="D403" s="1">
        <v>45434</v>
      </c>
      <c r="E403">
        <v>-111.5</v>
      </c>
      <c r="F403">
        <v>0</v>
      </c>
      <c r="G403">
        <v>700001822</v>
      </c>
      <c r="H403" s="1">
        <v>45581</v>
      </c>
      <c r="I403">
        <f>YEAR(Table1[[#This Row],[Posting Date]])</f>
        <v>2024</v>
      </c>
      <c r="J403">
        <f>MONTH(Table1[[#This Row],[Posting Date]])</f>
        <v>5</v>
      </c>
      <c r="K403" t="str">
        <f>IF(Table1[[#This Row],[Type]]="IN",VLOOKUP(Table1[[#This Row],[Cust '#]],ClientInfo!$A:$D,4,0),"")</f>
        <v/>
      </c>
      <c r="L403" s="1" t="str">
        <f>IF(K403="NET30",Table1[[#This Row],[Posting Date]]+30,IF(K403="NET15",Table1[[#This Row],[Posting Date]]+15,IF(K403="COD",Table1[[#This Row],[Posting Date]],"")))</f>
        <v/>
      </c>
      <c r="M403" s="4" t="str">
        <f>IFERROR(IF(Table1[[#This Row],[Type]]="IN",Table1[[#This Row],[RC Date]]-Table1[[#This Row],[Posting Date]],""),"")</f>
        <v/>
      </c>
      <c r="N403">
        <f>IFERROR(IF(Table1[[#This Row],[Balance Due (LC)]]&lt;&gt;0,$S$1-L403,0),"")</f>
        <v>0</v>
      </c>
      <c r="O403">
        <f>IFERROR(IF(Table1[[#This Row],[Type]]="IN",Table1[[#This Row],[C/D (LC)]],IF(Table1[[#This Row],[Type]]="CN",Table1[[#This Row],[C/D (LC)]],"")),"")</f>
        <v>-111.5</v>
      </c>
      <c r="P403" t="str">
        <f>VLOOKUP(Table1[[#This Row],[Cust '#]],ClientInfo!$A:$B,2,0)</f>
        <v>Client_05</v>
      </c>
    </row>
    <row r="404" spans="1:16">
      <c r="A404" t="s">
        <v>111</v>
      </c>
      <c r="B404" t="s">
        <v>12</v>
      </c>
      <c r="C404">
        <v>140008275</v>
      </c>
      <c r="D404" s="1">
        <v>45436</v>
      </c>
      <c r="E404">
        <v>4457.7</v>
      </c>
      <c r="F404">
        <v>0</v>
      </c>
      <c r="G404">
        <v>700001134</v>
      </c>
      <c r="H404" s="1">
        <v>45491</v>
      </c>
      <c r="I404">
        <f>YEAR(Table1[[#This Row],[Posting Date]])</f>
        <v>2024</v>
      </c>
      <c r="J404">
        <f>MONTH(Table1[[#This Row],[Posting Date]])</f>
        <v>5</v>
      </c>
      <c r="K404" t="str">
        <f>IF(Table1[[#This Row],[Type]]="IN",VLOOKUP(Table1[[#This Row],[Cust '#]],ClientInfo!$A:$D,4,0),"")</f>
        <v>NET30</v>
      </c>
      <c r="L404" s="1">
        <f>IF(K404="NET30",Table1[[#This Row],[Posting Date]]+30,IF(K404="NET15",Table1[[#This Row],[Posting Date]]+15,IF(K404="COD",Table1[[#This Row],[Posting Date]],"")))</f>
        <v>45466</v>
      </c>
      <c r="M404" s="4">
        <f>IFERROR(IF(Table1[[#This Row],[Type]]="IN",Table1[[#This Row],[RC Date]]-Table1[[#This Row],[Posting Date]],""),"")</f>
        <v>55</v>
      </c>
      <c r="N404">
        <f>IFERROR(IF(Table1[[#This Row],[Balance Due (LC)]]&lt;&gt;0,$S$1-L404,0),"")</f>
        <v>0</v>
      </c>
      <c r="O404">
        <f>IFERROR(IF(Table1[[#This Row],[Type]]="IN",Table1[[#This Row],[C/D (LC)]],IF(Table1[[#This Row],[Type]]="CN",Table1[[#This Row],[C/D (LC)]],"")),"")</f>
        <v>4457.7</v>
      </c>
      <c r="P404" t="str">
        <f>VLOOKUP(Table1[[#This Row],[Cust '#]],ClientInfo!$A:$B,2,0)</f>
        <v>Client_05</v>
      </c>
    </row>
    <row r="405" spans="1:16">
      <c r="A405" t="s">
        <v>111</v>
      </c>
      <c r="B405" t="s">
        <v>12</v>
      </c>
      <c r="C405">
        <v>140008472</v>
      </c>
      <c r="D405" s="1">
        <v>45441</v>
      </c>
      <c r="E405">
        <v>6452.1</v>
      </c>
      <c r="F405">
        <v>0</v>
      </c>
      <c r="G405">
        <v>700001134</v>
      </c>
      <c r="H405" s="1">
        <v>45491</v>
      </c>
      <c r="I405">
        <f>YEAR(Table1[[#This Row],[Posting Date]])</f>
        <v>2024</v>
      </c>
      <c r="J405">
        <f>MONTH(Table1[[#This Row],[Posting Date]])</f>
        <v>5</v>
      </c>
      <c r="K405" t="str">
        <f>IF(Table1[[#This Row],[Type]]="IN",VLOOKUP(Table1[[#This Row],[Cust '#]],ClientInfo!$A:$D,4,0),"")</f>
        <v>NET30</v>
      </c>
      <c r="L405" s="1">
        <f>IF(K405="NET30",Table1[[#This Row],[Posting Date]]+30,IF(K405="NET15",Table1[[#This Row],[Posting Date]]+15,IF(K405="COD",Table1[[#This Row],[Posting Date]],"")))</f>
        <v>45471</v>
      </c>
      <c r="M405" s="4">
        <f>IFERROR(IF(Table1[[#This Row],[Type]]="IN",Table1[[#This Row],[RC Date]]-Table1[[#This Row],[Posting Date]],""),"")</f>
        <v>50</v>
      </c>
      <c r="N405">
        <f>IFERROR(IF(Table1[[#This Row],[Balance Due (LC)]]&lt;&gt;0,$S$1-L405,0),"")</f>
        <v>0</v>
      </c>
      <c r="O405">
        <f>IFERROR(IF(Table1[[#This Row],[Type]]="IN",Table1[[#This Row],[C/D (LC)]],IF(Table1[[#This Row],[Type]]="CN",Table1[[#This Row],[C/D (LC)]],"")),"")</f>
        <v>6452.1</v>
      </c>
      <c r="P405" t="str">
        <f>VLOOKUP(Table1[[#This Row],[Cust '#]],ClientInfo!$A:$B,2,0)</f>
        <v>Client_05</v>
      </c>
    </row>
    <row r="406" spans="1:16">
      <c r="A406" t="s">
        <v>111</v>
      </c>
      <c r="B406" t="s">
        <v>12</v>
      </c>
      <c r="C406">
        <v>140008802</v>
      </c>
      <c r="D406" s="1">
        <v>45448</v>
      </c>
      <c r="E406">
        <v>3813.6</v>
      </c>
      <c r="F406">
        <v>0</v>
      </c>
      <c r="G406">
        <v>700001134</v>
      </c>
      <c r="H406" s="1">
        <v>45491</v>
      </c>
      <c r="I406">
        <f>YEAR(Table1[[#This Row],[Posting Date]])</f>
        <v>2024</v>
      </c>
      <c r="J406">
        <f>MONTH(Table1[[#This Row],[Posting Date]])</f>
        <v>6</v>
      </c>
      <c r="K406" t="str">
        <f>IF(Table1[[#This Row],[Type]]="IN",VLOOKUP(Table1[[#This Row],[Cust '#]],ClientInfo!$A:$D,4,0),"")</f>
        <v>NET30</v>
      </c>
      <c r="L406" s="1">
        <f>IF(K406="NET30",Table1[[#This Row],[Posting Date]]+30,IF(K406="NET15",Table1[[#This Row],[Posting Date]]+15,IF(K406="COD",Table1[[#This Row],[Posting Date]],"")))</f>
        <v>45478</v>
      </c>
      <c r="M406" s="4">
        <f>IFERROR(IF(Table1[[#This Row],[Type]]="IN",Table1[[#This Row],[RC Date]]-Table1[[#This Row],[Posting Date]],""),"")</f>
        <v>43</v>
      </c>
      <c r="N406">
        <f>IFERROR(IF(Table1[[#This Row],[Balance Due (LC)]]&lt;&gt;0,$S$1-L406,0),"")</f>
        <v>0</v>
      </c>
      <c r="O406">
        <f>IFERROR(IF(Table1[[#This Row],[Type]]="IN",Table1[[#This Row],[C/D (LC)]],IF(Table1[[#This Row],[Type]]="CN",Table1[[#This Row],[C/D (LC)]],"")),"")</f>
        <v>3813.6</v>
      </c>
      <c r="P406" t="str">
        <f>VLOOKUP(Table1[[#This Row],[Cust '#]],ClientInfo!$A:$B,2,0)</f>
        <v>Client_05</v>
      </c>
    </row>
    <row r="407" spans="1:16">
      <c r="A407" t="s">
        <v>111</v>
      </c>
      <c r="B407" t="s">
        <v>12</v>
      </c>
      <c r="C407">
        <v>140009141</v>
      </c>
      <c r="D407" s="1">
        <v>45455</v>
      </c>
      <c r="E407">
        <v>4305.75</v>
      </c>
      <c r="F407">
        <v>0</v>
      </c>
      <c r="G407">
        <v>700001134</v>
      </c>
      <c r="H407" s="1">
        <v>45491</v>
      </c>
      <c r="I407">
        <f>YEAR(Table1[[#This Row],[Posting Date]])</f>
        <v>2024</v>
      </c>
      <c r="J407">
        <f>MONTH(Table1[[#This Row],[Posting Date]])</f>
        <v>6</v>
      </c>
      <c r="K407" t="str">
        <f>IF(Table1[[#This Row],[Type]]="IN",VLOOKUP(Table1[[#This Row],[Cust '#]],ClientInfo!$A:$D,4,0),"")</f>
        <v>NET30</v>
      </c>
      <c r="L407" s="1">
        <f>IF(K407="NET30",Table1[[#This Row],[Posting Date]]+30,IF(K407="NET15",Table1[[#This Row],[Posting Date]]+15,IF(K407="COD",Table1[[#This Row],[Posting Date]],"")))</f>
        <v>45485</v>
      </c>
      <c r="M407" s="4">
        <f>IFERROR(IF(Table1[[#This Row],[Type]]="IN",Table1[[#This Row],[RC Date]]-Table1[[#This Row],[Posting Date]],""),"")</f>
        <v>36</v>
      </c>
      <c r="N407">
        <f>IFERROR(IF(Table1[[#This Row],[Balance Due (LC)]]&lt;&gt;0,$S$1-L407,0),"")</f>
        <v>0</v>
      </c>
      <c r="O407">
        <f>IFERROR(IF(Table1[[#This Row],[Type]]="IN",Table1[[#This Row],[C/D (LC)]],IF(Table1[[#This Row],[Type]]="CN",Table1[[#This Row],[C/D (LC)]],"")),"")</f>
        <v>4305.75</v>
      </c>
      <c r="P407" t="str">
        <f>VLOOKUP(Table1[[#This Row],[Cust '#]],ClientInfo!$A:$B,2,0)</f>
        <v>Client_05</v>
      </c>
    </row>
    <row r="408" spans="1:16">
      <c r="A408" t="s">
        <v>111</v>
      </c>
      <c r="B408" t="s">
        <v>12</v>
      </c>
      <c r="C408">
        <v>140009142</v>
      </c>
      <c r="D408" s="1">
        <v>45455</v>
      </c>
      <c r="E408">
        <v>709.3</v>
      </c>
      <c r="F408">
        <v>0</v>
      </c>
      <c r="G408">
        <v>700001134</v>
      </c>
      <c r="H408" s="1">
        <v>45491</v>
      </c>
      <c r="I408">
        <f>YEAR(Table1[[#This Row],[Posting Date]])</f>
        <v>2024</v>
      </c>
      <c r="J408">
        <f>MONTH(Table1[[#This Row],[Posting Date]])</f>
        <v>6</v>
      </c>
      <c r="K408" t="str">
        <f>IF(Table1[[#This Row],[Type]]="IN",VLOOKUP(Table1[[#This Row],[Cust '#]],ClientInfo!$A:$D,4,0),"")</f>
        <v>NET30</v>
      </c>
      <c r="L408" s="1">
        <f>IF(K408="NET30",Table1[[#This Row],[Posting Date]]+30,IF(K408="NET15",Table1[[#This Row],[Posting Date]]+15,IF(K408="COD",Table1[[#This Row],[Posting Date]],"")))</f>
        <v>45485</v>
      </c>
      <c r="M408" s="4">
        <f>IFERROR(IF(Table1[[#This Row],[Type]]="IN",Table1[[#This Row],[RC Date]]-Table1[[#This Row],[Posting Date]],""),"")</f>
        <v>36</v>
      </c>
      <c r="N408">
        <f>IFERROR(IF(Table1[[#This Row],[Balance Due (LC)]]&lt;&gt;0,$S$1-L408,0),"")</f>
        <v>0</v>
      </c>
      <c r="O408">
        <f>IFERROR(IF(Table1[[#This Row],[Type]]="IN",Table1[[#This Row],[C/D (LC)]],IF(Table1[[#This Row],[Type]]="CN",Table1[[#This Row],[C/D (LC)]],"")),"")</f>
        <v>709.3</v>
      </c>
      <c r="P408" t="str">
        <f>VLOOKUP(Table1[[#This Row],[Cust '#]],ClientInfo!$A:$B,2,0)</f>
        <v>Client_05</v>
      </c>
    </row>
    <row r="409" spans="1:16">
      <c r="A409" t="s">
        <v>111</v>
      </c>
      <c r="B409" t="s">
        <v>12</v>
      </c>
      <c r="C409">
        <v>140009462</v>
      </c>
      <c r="D409" s="1">
        <v>45462</v>
      </c>
      <c r="E409">
        <v>6157.4</v>
      </c>
      <c r="F409">
        <v>0</v>
      </c>
      <c r="G409">
        <v>700001134</v>
      </c>
      <c r="H409" s="1">
        <v>45491</v>
      </c>
      <c r="I409">
        <f>YEAR(Table1[[#This Row],[Posting Date]])</f>
        <v>2024</v>
      </c>
      <c r="J409">
        <f>MONTH(Table1[[#This Row],[Posting Date]])</f>
        <v>6</v>
      </c>
      <c r="K409" t="str">
        <f>IF(Table1[[#This Row],[Type]]="IN",VLOOKUP(Table1[[#This Row],[Cust '#]],ClientInfo!$A:$D,4,0),"")</f>
        <v>NET30</v>
      </c>
      <c r="L409" s="1">
        <f>IF(K409="NET30",Table1[[#This Row],[Posting Date]]+30,IF(K409="NET15",Table1[[#This Row],[Posting Date]]+15,IF(K409="COD",Table1[[#This Row],[Posting Date]],"")))</f>
        <v>45492</v>
      </c>
      <c r="M409" s="4">
        <f>IFERROR(IF(Table1[[#This Row],[Type]]="IN",Table1[[#This Row],[RC Date]]-Table1[[#This Row],[Posting Date]],""),"")</f>
        <v>29</v>
      </c>
      <c r="N409">
        <f>IFERROR(IF(Table1[[#This Row],[Balance Due (LC)]]&lt;&gt;0,$S$1-L409,0),"")</f>
        <v>0</v>
      </c>
      <c r="O409">
        <f>IFERROR(IF(Table1[[#This Row],[Type]]="IN",Table1[[#This Row],[C/D (LC)]],IF(Table1[[#This Row],[Type]]="CN",Table1[[#This Row],[C/D (LC)]],"")),"")</f>
        <v>6157.4</v>
      </c>
      <c r="P409" t="str">
        <f>VLOOKUP(Table1[[#This Row],[Cust '#]],ClientInfo!$A:$B,2,0)</f>
        <v>Client_05</v>
      </c>
    </row>
    <row r="410" spans="1:16">
      <c r="A410" t="s">
        <v>111</v>
      </c>
      <c r="B410" t="s">
        <v>12</v>
      </c>
      <c r="C410">
        <v>140009747</v>
      </c>
      <c r="D410" s="1">
        <v>45469</v>
      </c>
      <c r="E410">
        <v>5442.5</v>
      </c>
      <c r="F410">
        <v>0</v>
      </c>
      <c r="G410">
        <v>700001134</v>
      </c>
      <c r="H410" s="1">
        <v>45491</v>
      </c>
      <c r="I410">
        <f>YEAR(Table1[[#This Row],[Posting Date]])</f>
        <v>2024</v>
      </c>
      <c r="J410">
        <f>MONTH(Table1[[#This Row],[Posting Date]])</f>
        <v>6</v>
      </c>
      <c r="K410" t="str">
        <f>IF(Table1[[#This Row],[Type]]="IN",VLOOKUP(Table1[[#This Row],[Cust '#]],ClientInfo!$A:$D,4,0),"")</f>
        <v>NET30</v>
      </c>
      <c r="L410" s="1">
        <f>IF(K410="NET30",Table1[[#This Row],[Posting Date]]+30,IF(K410="NET15",Table1[[#This Row],[Posting Date]]+15,IF(K410="COD",Table1[[#This Row],[Posting Date]],"")))</f>
        <v>45499</v>
      </c>
      <c r="M410" s="4">
        <f>IFERROR(IF(Table1[[#This Row],[Type]]="IN",Table1[[#This Row],[RC Date]]-Table1[[#This Row],[Posting Date]],""),"")</f>
        <v>22</v>
      </c>
      <c r="N410">
        <f>IFERROR(IF(Table1[[#This Row],[Balance Due (LC)]]&lt;&gt;0,$S$1-L410,0),"")</f>
        <v>0</v>
      </c>
      <c r="O410">
        <f>IFERROR(IF(Table1[[#This Row],[Type]]="IN",Table1[[#This Row],[C/D (LC)]],IF(Table1[[#This Row],[Type]]="CN",Table1[[#This Row],[C/D (LC)]],"")),"")</f>
        <v>5442.5</v>
      </c>
      <c r="P410" t="str">
        <f>VLOOKUP(Table1[[#This Row],[Cust '#]],ClientInfo!$A:$B,2,0)</f>
        <v>Client_05</v>
      </c>
    </row>
    <row r="411" spans="1:16">
      <c r="A411" t="s">
        <v>111</v>
      </c>
      <c r="B411" t="s">
        <v>12</v>
      </c>
      <c r="C411">
        <v>140010185</v>
      </c>
      <c r="D411" s="1">
        <v>45477</v>
      </c>
      <c r="E411">
        <v>4728.6000000000004</v>
      </c>
      <c r="F411">
        <v>0</v>
      </c>
      <c r="G411">
        <v>700001134</v>
      </c>
      <c r="H411" s="1">
        <v>45491</v>
      </c>
      <c r="I411">
        <f>YEAR(Table1[[#This Row],[Posting Date]])</f>
        <v>2024</v>
      </c>
      <c r="J411">
        <f>MONTH(Table1[[#This Row],[Posting Date]])</f>
        <v>7</v>
      </c>
      <c r="K411" t="str">
        <f>IF(Table1[[#This Row],[Type]]="IN",VLOOKUP(Table1[[#This Row],[Cust '#]],ClientInfo!$A:$D,4,0),"")</f>
        <v>NET30</v>
      </c>
      <c r="L411" s="1">
        <f>IF(K411="NET30",Table1[[#This Row],[Posting Date]]+30,IF(K411="NET15",Table1[[#This Row],[Posting Date]]+15,IF(K411="COD",Table1[[#This Row],[Posting Date]],"")))</f>
        <v>45507</v>
      </c>
      <c r="M411" s="4">
        <f>IFERROR(IF(Table1[[#This Row],[Type]]="IN",Table1[[#This Row],[RC Date]]-Table1[[#This Row],[Posting Date]],""),"")</f>
        <v>14</v>
      </c>
      <c r="N411">
        <f>IFERROR(IF(Table1[[#This Row],[Balance Due (LC)]]&lt;&gt;0,$S$1-L411,0),"")</f>
        <v>0</v>
      </c>
      <c r="O411">
        <f>IFERROR(IF(Table1[[#This Row],[Type]]="IN",Table1[[#This Row],[C/D (LC)]],IF(Table1[[#This Row],[Type]]="CN",Table1[[#This Row],[C/D (LC)]],"")),"")</f>
        <v>4728.6000000000004</v>
      </c>
      <c r="P411" t="str">
        <f>VLOOKUP(Table1[[#This Row],[Cust '#]],ClientInfo!$A:$B,2,0)</f>
        <v>Client_05</v>
      </c>
    </row>
    <row r="412" spans="1:16">
      <c r="A412" t="s">
        <v>111</v>
      </c>
      <c r="B412" t="s">
        <v>12</v>
      </c>
      <c r="C412">
        <v>140010516</v>
      </c>
      <c r="D412" s="1">
        <v>45485</v>
      </c>
      <c r="E412">
        <v>3724</v>
      </c>
      <c r="F412">
        <v>0</v>
      </c>
      <c r="G412">
        <v>700001464</v>
      </c>
      <c r="H412" s="1">
        <v>45532</v>
      </c>
      <c r="I412">
        <f>YEAR(Table1[[#This Row],[Posting Date]])</f>
        <v>2024</v>
      </c>
      <c r="J412">
        <f>MONTH(Table1[[#This Row],[Posting Date]])</f>
        <v>7</v>
      </c>
      <c r="K412" t="str">
        <f>IF(Table1[[#This Row],[Type]]="IN",VLOOKUP(Table1[[#This Row],[Cust '#]],ClientInfo!$A:$D,4,0),"")</f>
        <v>NET30</v>
      </c>
      <c r="L412" s="1">
        <f>IF(K412="NET30",Table1[[#This Row],[Posting Date]]+30,IF(K412="NET15",Table1[[#This Row],[Posting Date]]+15,IF(K412="COD",Table1[[#This Row],[Posting Date]],"")))</f>
        <v>45515</v>
      </c>
      <c r="M412" s="4">
        <f>IFERROR(IF(Table1[[#This Row],[Type]]="IN",Table1[[#This Row],[RC Date]]-Table1[[#This Row],[Posting Date]],""),"")</f>
        <v>47</v>
      </c>
      <c r="N412">
        <f>IFERROR(IF(Table1[[#This Row],[Balance Due (LC)]]&lt;&gt;0,$S$1-L412,0),"")</f>
        <v>0</v>
      </c>
      <c r="O412">
        <f>IFERROR(IF(Table1[[#This Row],[Type]]="IN",Table1[[#This Row],[C/D (LC)]],IF(Table1[[#This Row],[Type]]="CN",Table1[[#This Row],[C/D (LC)]],"")),"")</f>
        <v>3724</v>
      </c>
      <c r="P412" t="str">
        <f>VLOOKUP(Table1[[#This Row],[Cust '#]],ClientInfo!$A:$B,2,0)</f>
        <v>Client_05</v>
      </c>
    </row>
    <row r="413" spans="1:16">
      <c r="A413" t="s">
        <v>111</v>
      </c>
      <c r="B413" t="s">
        <v>12</v>
      </c>
      <c r="C413">
        <v>140010709</v>
      </c>
      <c r="D413" s="1">
        <v>45490</v>
      </c>
      <c r="E413">
        <v>7404.2</v>
      </c>
      <c r="F413">
        <v>0</v>
      </c>
      <c r="G413">
        <v>700001464</v>
      </c>
      <c r="H413" s="1">
        <v>45532</v>
      </c>
      <c r="I413">
        <f>YEAR(Table1[[#This Row],[Posting Date]])</f>
        <v>2024</v>
      </c>
      <c r="J413">
        <f>MONTH(Table1[[#This Row],[Posting Date]])</f>
        <v>7</v>
      </c>
      <c r="K413" t="str">
        <f>IF(Table1[[#This Row],[Type]]="IN",VLOOKUP(Table1[[#This Row],[Cust '#]],ClientInfo!$A:$D,4,0),"")</f>
        <v>NET30</v>
      </c>
      <c r="L413" s="1">
        <f>IF(K413="NET30",Table1[[#This Row],[Posting Date]]+30,IF(K413="NET15",Table1[[#This Row],[Posting Date]]+15,IF(K413="COD",Table1[[#This Row],[Posting Date]],"")))</f>
        <v>45520</v>
      </c>
      <c r="M413" s="4">
        <f>IFERROR(IF(Table1[[#This Row],[Type]]="IN",Table1[[#This Row],[RC Date]]-Table1[[#This Row],[Posting Date]],""),"")</f>
        <v>42</v>
      </c>
      <c r="N413">
        <f>IFERROR(IF(Table1[[#This Row],[Balance Due (LC)]]&lt;&gt;0,$S$1-L413,0),"")</f>
        <v>0</v>
      </c>
      <c r="O413">
        <f>IFERROR(IF(Table1[[#This Row],[Type]]="IN",Table1[[#This Row],[C/D (LC)]],IF(Table1[[#This Row],[Type]]="CN",Table1[[#This Row],[C/D (LC)]],"")),"")</f>
        <v>7404.2</v>
      </c>
      <c r="P413" t="str">
        <f>VLOOKUP(Table1[[#This Row],[Cust '#]],ClientInfo!$A:$B,2,0)</f>
        <v>Client_05</v>
      </c>
    </row>
    <row r="414" spans="1:16">
      <c r="A414" t="s">
        <v>111</v>
      </c>
      <c r="B414" t="s">
        <v>12</v>
      </c>
      <c r="C414">
        <v>140010712</v>
      </c>
      <c r="D414" s="1">
        <v>45490</v>
      </c>
      <c r="E414">
        <v>145</v>
      </c>
      <c r="F414">
        <v>0</v>
      </c>
      <c r="G414">
        <v>700001464</v>
      </c>
      <c r="H414" s="1">
        <v>45532</v>
      </c>
      <c r="I414">
        <f>YEAR(Table1[[#This Row],[Posting Date]])</f>
        <v>2024</v>
      </c>
      <c r="J414">
        <f>MONTH(Table1[[#This Row],[Posting Date]])</f>
        <v>7</v>
      </c>
      <c r="K414" t="str">
        <f>IF(Table1[[#This Row],[Type]]="IN",VLOOKUP(Table1[[#This Row],[Cust '#]],ClientInfo!$A:$D,4,0),"")</f>
        <v>NET30</v>
      </c>
      <c r="L414" s="1">
        <f>IF(K414="NET30",Table1[[#This Row],[Posting Date]]+30,IF(K414="NET15",Table1[[#This Row],[Posting Date]]+15,IF(K414="COD",Table1[[#This Row],[Posting Date]],"")))</f>
        <v>45520</v>
      </c>
      <c r="M414" s="4">
        <f>IFERROR(IF(Table1[[#This Row],[Type]]="IN",Table1[[#This Row],[RC Date]]-Table1[[#This Row],[Posting Date]],""),"")</f>
        <v>42</v>
      </c>
      <c r="N414">
        <f>IFERROR(IF(Table1[[#This Row],[Balance Due (LC)]]&lt;&gt;0,$S$1-L414,0),"")</f>
        <v>0</v>
      </c>
      <c r="O414">
        <f>IFERROR(IF(Table1[[#This Row],[Type]]="IN",Table1[[#This Row],[C/D (LC)]],IF(Table1[[#This Row],[Type]]="CN",Table1[[#This Row],[C/D (LC)]],"")),"")</f>
        <v>145</v>
      </c>
      <c r="P414" t="str">
        <f>VLOOKUP(Table1[[#This Row],[Cust '#]],ClientInfo!$A:$B,2,0)</f>
        <v>Client_05</v>
      </c>
    </row>
    <row r="415" spans="1:16">
      <c r="A415" t="s">
        <v>111</v>
      </c>
      <c r="B415" t="s">
        <v>10</v>
      </c>
      <c r="C415">
        <v>700001134</v>
      </c>
      <c r="D415" s="1">
        <v>45491</v>
      </c>
      <c r="E415">
        <v>-43495.05</v>
      </c>
      <c r="F415">
        <v>0</v>
      </c>
      <c r="G415">
        <v>700001134</v>
      </c>
      <c r="H415" s="1">
        <v>45491</v>
      </c>
      <c r="I415">
        <f>YEAR(Table1[[#This Row],[Posting Date]])</f>
        <v>2024</v>
      </c>
      <c r="J415">
        <f>MONTH(Table1[[#This Row],[Posting Date]])</f>
        <v>7</v>
      </c>
      <c r="K415" t="str">
        <f>IF(Table1[[#This Row],[Type]]="IN",VLOOKUP(Table1[[#This Row],[Cust '#]],ClientInfo!$A:$D,4,0),"")</f>
        <v/>
      </c>
      <c r="L415" s="1" t="str">
        <f>IF(K415="NET30",Table1[[#This Row],[Posting Date]]+30,IF(K415="NET15",Table1[[#This Row],[Posting Date]]+15,IF(K415="COD",Table1[[#This Row],[Posting Date]],"")))</f>
        <v/>
      </c>
      <c r="M415" s="4" t="str">
        <f>IFERROR(IF(Table1[[#This Row],[Type]]="IN",Table1[[#This Row],[RC Date]]-Table1[[#This Row],[Posting Date]],""),"")</f>
        <v/>
      </c>
      <c r="N415">
        <f>IFERROR(IF(Table1[[#This Row],[Balance Due (LC)]]&lt;&gt;0,$S$1-L415,0),"")</f>
        <v>0</v>
      </c>
      <c r="O415" t="str">
        <f>IFERROR(IF(Table1[[#This Row],[Type]]="IN",Table1[[#This Row],[C/D (LC)]],IF(Table1[[#This Row],[Type]]="CN",Table1[[#This Row],[C/D (LC)]],"")),"")</f>
        <v/>
      </c>
      <c r="P415" t="str">
        <f>VLOOKUP(Table1[[#This Row],[Cust '#]],ClientInfo!$A:$B,2,0)</f>
        <v>Client_05</v>
      </c>
    </row>
    <row r="416" spans="1:16">
      <c r="A416" t="s">
        <v>111</v>
      </c>
      <c r="B416" t="s">
        <v>12</v>
      </c>
      <c r="C416">
        <v>140011040</v>
      </c>
      <c r="D416" s="1">
        <v>45497</v>
      </c>
      <c r="E416">
        <v>2919.2</v>
      </c>
      <c r="F416">
        <v>0</v>
      </c>
      <c r="G416">
        <v>700001464</v>
      </c>
      <c r="H416" s="1">
        <v>45532</v>
      </c>
      <c r="I416">
        <f>YEAR(Table1[[#This Row],[Posting Date]])</f>
        <v>2024</v>
      </c>
      <c r="J416">
        <f>MONTH(Table1[[#This Row],[Posting Date]])</f>
        <v>7</v>
      </c>
      <c r="K416" t="str">
        <f>IF(Table1[[#This Row],[Type]]="IN",VLOOKUP(Table1[[#This Row],[Cust '#]],ClientInfo!$A:$D,4,0),"")</f>
        <v>NET30</v>
      </c>
      <c r="L416" s="1">
        <f>IF(K416="NET30",Table1[[#This Row],[Posting Date]]+30,IF(K416="NET15",Table1[[#This Row],[Posting Date]]+15,IF(K416="COD",Table1[[#This Row],[Posting Date]],"")))</f>
        <v>45527</v>
      </c>
      <c r="M416" s="4">
        <f>IFERROR(IF(Table1[[#This Row],[Type]]="IN",Table1[[#This Row],[RC Date]]-Table1[[#This Row],[Posting Date]],""),"")</f>
        <v>35</v>
      </c>
      <c r="N416">
        <f>IFERROR(IF(Table1[[#This Row],[Balance Due (LC)]]&lt;&gt;0,$S$1-L416,0),"")</f>
        <v>0</v>
      </c>
      <c r="O416">
        <f>IFERROR(IF(Table1[[#This Row],[Type]]="IN",Table1[[#This Row],[C/D (LC)]],IF(Table1[[#This Row],[Type]]="CN",Table1[[#This Row],[C/D (LC)]],"")),"")</f>
        <v>2919.2</v>
      </c>
      <c r="P416" t="str">
        <f>VLOOKUP(Table1[[#This Row],[Cust '#]],ClientInfo!$A:$B,2,0)</f>
        <v>Client_05</v>
      </c>
    </row>
    <row r="417" spans="1:16">
      <c r="A417" t="s">
        <v>111</v>
      </c>
      <c r="B417" t="s">
        <v>12</v>
      </c>
      <c r="C417">
        <v>140011353</v>
      </c>
      <c r="D417" s="1">
        <v>45504</v>
      </c>
      <c r="E417">
        <v>9894.2999999999993</v>
      </c>
      <c r="F417">
        <v>0</v>
      </c>
      <c r="G417">
        <v>700001464</v>
      </c>
      <c r="H417" s="1">
        <v>45532</v>
      </c>
      <c r="I417">
        <f>YEAR(Table1[[#This Row],[Posting Date]])</f>
        <v>2024</v>
      </c>
      <c r="J417">
        <f>MONTH(Table1[[#This Row],[Posting Date]])</f>
        <v>7</v>
      </c>
      <c r="K417" t="str">
        <f>IF(Table1[[#This Row],[Type]]="IN",VLOOKUP(Table1[[#This Row],[Cust '#]],ClientInfo!$A:$D,4,0),"")</f>
        <v>NET30</v>
      </c>
      <c r="L417" s="1">
        <f>IF(K417="NET30",Table1[[#This Row],[Posting Date]]+30,IF(K417="NET15",Table1[[#This Row],[Posting Date]]+15,IF(K417="COD",Table1[[#This Row],[Posting Date]],"")))</f>
        <v>45534</v>
      </c>
      <c r="M417" s="4">
        <f>IFERROR(IF(Table1[[#This Row],[Type]]="IN",Table1[[#This Row],[RC Date]]-Table1[[#This Row],[Posting Date]],""),"")</f>
        <v>28</v>
      </c>
      <c r="N417">
        <f>IFERROR(IF(Table1[[#This Row],[Balance Due (LC)]]&lt;&gt;0,$S$1-L417,0),"")</f>
        <v>0</v>
      </c>
      <c r="O417">
        <f>IFERROR(IF(Table1[[#This Row],[Type]]="IN",Table1[[#This Row],[C/D (LC)]],IF(Table1[[#This Row],[Type]]="CN",Table1[[#This Row],[C/D (LC)]],"")),"")</f>
        <v>9894.2999999999993</v>
      </c>
      <c r="P417" t="str">
        <f>VLOOKUP(Table1[[#This Row],[Cust '#]],ClientInfo!$A:$B,2,0)</f>
        <v>Client_05</v>
      </c>
    </row>
    <row r="418" spans="1:16">
      <c r="A418" t="s">
        <v>111</v>
      </c>
      <c r="B418" t="s">
        <v>13</v>
      </c>
      <c r="C418">
        <v>150000491</v>
      </c>
      <c r="D418" s="1">
        <v>45505</v>
      </c>
      <c r="E418">
        <v>-46</v>
      </c>
      <c r="F418">
        <v>0</v>
      </c>
      <c r="G418">
        <v>700001464</v>
      </c>
      <c r="H418" s="1">
        <v>45532</v>
      </c>
      <c r="I418">
        <f>YEAR(Table1[[#This Row],[Posting Date]])</f>
        <v>2024</v>
      </c>
      <c r="J418">
        <f>MONTH(Table1[[#This Row],[Posting Date]])</f>
        <v>8</v>
      </c>
      <c r="K418" t="str">
        <f>IF(Table1[[#This Row],[Type]]="IN",VLOOKUP(Table1[[#This Row],[Cust '#]],ClientInfo!$A:$D,4,0),"")</f>
        <v/>
      </c>
      <c r="L418" s="1" t="str">
        <f>IF(K418="NET30",Table1[[#This Row],[Posting Date]]+30,IF(K418="NET15",Table1[[#This Row],[Posting Date]]+15,IF(K418="COD",Table1[[#This Row],[Posting Date]],"")))</f>
        <v/>
      </c>
      <c r="M418" s="4" t="str">
        <f>IFERROR(IF(Table1[[#This Row],[Type]]="IN",Table1[[#This Row],[RC Date]]-Table1[[#This Row],[Posting Date]],""),"")</f>
        <v/>
      </c>
      <c r="N418">
        <f>IFERROR(IF(Table1[[#This Row],[Balance Due (LC)]]&lt;&gt;0,$S$1-L418,0),"")</f>
        <v>0</v>
      </c>
      <c r="O418">
        <f>IFERROR(IF(Table1[[#This Row],[Type]]="IN",Table1[[#This Row],[C/D (LC)]],IF(Table1[[#This Row],[Type]]="CN",Table1[[#This Row],[C/D (LC)]],"")),"")</f>
        <v>-46</v>
      </c>
      <c r="P418" t="str">
        <f>VLOOKUP(Table1[[#This Row],[Cust '#]],ClientInfo!$A:$B,2,0)</f>
        <v>Client_05</v>
      </c>
    </row>
    <row r="419" spans="1:16">
      <c r="A419" t="s">
        <v>111</v>
      </c>
      <c r="B419" t="s">
        <v>12</v>
      </c>
      <c r="C419">
        <v>140011675</v>
      </c>
      <c r="D419" s="1">
        <v>45511</v>
      </c>
      <c r="E419">
        <v>4437.2</v>
      </c>
      <c r="F419">
        <v>0</v>
      </c>
      <c r="G419">
        <v>700001822</v>
      </c>
      <c r="H419" s="1">
        <v>45581</v>
      </c>
      <c r="I419">
        <f>YEAR(Table1[[#This Row],[Posting Date]])</f>
        <v>2024</v>
      </c>
      <c r="J419">
        <f>MONTH(Table1[[#This Row],[Posting Date]])</f>
        <v>8</v>
      </c>
      <c r="K419" t="str">
        <f>IF(Table1[[#This Row],[Type]]="IN",VLOOKUP(Table1[[#This Row],[Cust '#]],ClientInfo!$A:$D,4,0),"")</f>
        <v>NET30</v>
      </c>
      <c r="L419" s="1">
        <f>IF(K419="NET30",Table1[[#This Row],[Posting Date]]+30,IF(K419="NET15",Table1[[#This Row],[Posting Date]]+15,IF(K419="COD",Table1[[#This Row],[Posting Date]],"")))</f>
        <v>45541</v>
      </c>
      <c r="M419" s="4">
        <f>IFERROR(IF(Table1[[#This Row],[Type]]="IN",Table1[[#This Row],[RC Date]]-Table1[[#This Row],[Posting Date]],""),"")</f>
        <v>70</v>
      </c>
      <c r="N419">
        <f>IFERROR(IF(Table1[[#This Row],[Balance Due (LC)]]&lt;&gt;0,$S$1-L419,0),"")</f>
        <v>0</v>
      </c>
      <c r="O419">
        <f>IFERROR(IF(Table1[[#This Row],[Type]]="IN",Table1[[#This Row],[C/D (LC)]],IF(Table1[[#This Row],[Type]]="CN",Table1[[#This Row],[C/D (LC)]],"")),"")</f>
        <v>4437.2</v>
      </c>
      <c r="P419" t="str">
        <f>VLOOKUP(Table1[[#This Row],[Cust '#]],ClientInfo!$A:$B,2,0)</f>
        <v>Client_05</v>
      </c>
    </row>
    <row r="420" spans="1:16">
      <c r="A420" t="s">
        <v>111</v>
      </c>
      <c r="B420" t="s">
        <v>13</v>
      </c>
      <c r="C420">
        <v>150000504</v>
      </c>
      <c r="D420" s="1">
        <v>45513</v>
      </c>
      <c r="E420">
        <v>-3.2</v>
      </c>
      <c r="F420">
        <v>0</v>
      </c>
      <c r="G420">
        <v>700001822</v>
      </c>
      <c r="H420" s="1">
        <v>45581</v>
      </c>
      <c r="I420">
        <f>YEAR(Table1[[#This Row],[Posting Date]])</f>
        <v>2024</v>
      </c>
      <c r="J420">
        <f>MONTH(Table1[[#This Row],[Posting Date]])</f>
        <v>8</v>
      </c>
      <c r="K420" t="str">
        <f>IF(Table1[[#This Row],[Type]]="IN",VLOOKUP(Table1[[#This Row],[Cust '#]],ClientInfo!$A:$D,4,0),"")</f>
        <v/>
      </c>
      <c r="L420" s="1" t="str">
        <f>IF(K420="NET30",Table1[[#This Row],[Posting Date]]+30,IF(K420="NET15",Table1[[#This Row],[Posting Date]]+15,IF(K420="COD",Table1[[#This Row],[Posting Date]],"")))</f>
        <v/>
      </c>
      <c r="M420" s="4" t="str">
        <f>IFERROR(IF(Table1[[#This Row],[Type]]="IN",Table1[[#This Row],[RC Date]]-Table1[[#This Row],[Posting Date]],""),"")</f>
        <v/>
      </c>
      <c r="N420">
        <f>IFERROR(IF(Table1[[#This Row],[Balance Due (LC)]]&lt;&gt;0,$S$1-L420,0),"")</f>
        <v>0</v>
      </c>
      <c r="O420">
        <f>IFERROR(IF(Table1[[#This Row],[Type]]="IN",Table1[[#This Row],[C/D (LC)]],IF(Table1[[#This Row],[Type]]="CN",Table1[[#This Row],[C/D (LC)]],"")),"")</f>
        <v>-3.2</v>
      </c>
      <c r="P420" t="str">
        <f>VLOOKUP(Table1[[#This Row],[Cust '#]],ClientInfo!$A:$B,2,0)</f>
        <v>Client_05</v>
      </c>
    </row>
    <row r="421" spans="1:16">
      <c r="A421" t="s">
        <v>111</v>
      </c>
      <c r="B421" t="s">
        <v>12</v>
      </c>
      <c r="C421">
        <v>140012272</v>
      </c>
      <c r="D421" s="1">
        <v>45525</v>
      </c>
      <c r="E421">
        <v>3287.2</v>
      </c>
      <c r="F421">
        <v>0</v>
      </c>
      <c r="G421">
        <v>700001822</v>
      </c>
      <c r="H421" s="1">
        <v>45581</v>
      </c>
      <c r="I421">
        <f>YEAR(Table1[[#This Row],[Posting Date]])</f>
        <v>2024</v>
      </c>
      <c r="J421">
        <f>MONTH(Table1[[#This Row],[Posting Date]])</f>
        <v>8</v>
      </c>
      <c r="K421" t="str">
        <f>IF(Table1[[#This Row],[Type]]="IN",VLOOKUP(Table1[[#This Row],[Cust '#]],ClientInfo!$A:$D,4,0),"")</f>
        <v>NET30</v>
      </c>
      <c r="L421" s="1">
        <f>IF(K421="NET30",Table1[[#This Row],[Posting Date]]+30,IF(K421="NET15",Table1[[#This Row],[Posting Date]]+15,IF(K421="COD",Table1[[#This Row],[Posting Date]],"")))</f>
        <v>45555</v>
      </c>
      <c r="M421" s="4">
        <f>IFERROR(IF(Table1[[#This Row],[Type]]="IN",Table1[[#This Row],[RC Date]]-Table1[[#This Row],[Posting Date]],""),"")</f>
        <v>56</v>
      </c>
      <c r="N421">
        <f>IFERROR(IF(Table1[[#This Row],[Balance Due (LC)]]&lt;&gt;0,$S$1-L421,0),"")</f>
        <v>0</v>
      </c>
      <c r="O421">
        <f>IFERROR(IF(Table1[[#This Row],[Type]]="IN",Table1[[#This Row],[C/D (LC)]],IF(Table1[[#This Row],[Type]]="CN",Table1[[#This Row],[C/D (LC)]],"")),"")</f>
        <v>3287.2</v>
      </c>
      <c r="P421" t="str">
        <f>VLOOKUP(Table1[[#This Row],[Cust '#]],ClientInfo!$A:$B,2,0)</f>
        <v>Client_05</v>
      </c>
    </row>
    <row r="422" spans="1:16">
      <c r="A422" t="s">
        <v>111</v>
      </c>
      <c r="B422" t="s">
        <v>12</v>
      </c>
      <c r="C422">
        <v>140012593</v>
      </c>
      <c r="D422" s="1">
        <v>45532</v>
      </c>
      <c r="E422">
        <v>6302.2</v>
      </c>
      <c r="F422">
        <v>0</v>
      </c>
      <c r="G422">
        <v>700001822</v>
      </c>
      <c r="H422" s="1">
        <v>45581</v>
      </c>
      <c r="I422">
        <f>YEAR(Table1[[#This Row],[Posting Date]])</f>
        <v>2024</v>
      </c>
      <c r="J422">
        <f>MONTH(Table1[[#This Row],[Posting Date]])</f>
        <v>8</v>
      </c>
      <c r="K422" t="str">
        <f>IF(Table1[[#This Row],[Type]]="IN",VLOOKUP(Table1[[#This Row],[Cust '#]],ClientInfo!$A:$D,4,0),"")</f>
        <v>NET30</v>
      </c>
      <c r="L422" s="1">
        <f>IF(K422="NET30",Table1[[#This Row],[Posting Date]]+30,IF(K422="NET15",Table1[[#This Row],[Posting Date]]+15,IF(K422="COD",Table1[[#This Row],[Posting Date]],"")))</f>
        <v>45562</v>
      </c>
      <c r="M422" s="4">
        <f>IFERROR(IF(Table1[[#This Row],[Type]]="IN",Table1[[#This Row],[RC Date]]-Table1[[#This Row],[Posting Date]],""),"")</f>
        <v>49</v>
      </c>
      <c r="N422">
        <f>IFERROR(IF(Table1[[#This Row],[Balance Due (LC)]]&lt;&gt;0,$S$1-L422,0),"")</f>
        <v>0</v>
      </c>
      <c r="O422">
        <f>IFERROR(IF(Table1[[#This Row],[Type]]="IN",Table1[[#This Row],[C/D (LC)]],IF(Table1[[#This Row],[Type]]="CN",Table1[[#This Row],[C/D (LC)]],"")),"")</f>
        <v>6302.2</v>
      </c>
      <c r="P422" t="str">
        <f>VLOOKUP(Table1[[#This Row],[Cust '#]],ClientInfo!$A:$B,2,0)</f>
        <v>Client_05</v>
      </c>
    </row>
    <row r="423" spans="1:16">
      <c r="A423" t="s">
        <v>111</v>
      </c>
      <c r="B423" t="s">
        <v>13</v>
      </c>
      <c r="C423">
        <v>150000556</v>
      </c>
      <c r="D423" s="1">
        <v>45532</v>
      </c>
      <c r="E423">
        <v>-122</v>
      </c>
      <c r="F423">
        <v>0</v>
      </c>
      <c r="G423">
        <v>700001822</v>
      </c>
      <c r="H423" s="1">
        <v>45581</v>
      </c>
      <c r="I423">
        <f>YEAR(Table1[[#This Row],[Posting Date]])</f>
        <v>2024</v>
      </c>
      <c r="J423">
        <f>MONTH(Table1[[#This Row],[Posting Date]])</f>
        <v>8</v>
      </c>
      <c r="K423" t="str">
        <f>IF(Table1[[#This Row],[Type]]="IN",VLOOKUP(Table1[[#This Row],[Cust '#]],ClientInfo!$A:$D,4,0),"")</f>
        <v/>
      </c>
      <c r="L423" s="1" t="str">
        <f>IF(K423="NET30",Table1[[#This Row],[Posting Date]]+30,IF(K423="NET15",Table1[[#This Row],[Posting Date]]+15,IF(K423="COD",Table1[[#This Row],[Posting Date]],"")))</f>
        <v/>
      </c>
      <c r="M423" s="4" t="str">
        <f>IFERROR(IF(Table1[[#This Row],[Type]]="IN",Table1[[#This Row],[RC Date]]-Table1[[#This Row],[Posting Date]],""),"")</f>
        <v/>
      </c>
      <c r="N423">
        <f>IFERROR(IF(Table1[[#This Row],[Balance Due (LC)]]&lt;&gt;0,$S$1-L423,0),"")</f>
        <v>0</v>
      </c>
      <c r="O423">
        <f>IFERROR(IF(Table1[[#This Row],[Type]]="IN",Table1[[#This Row],[C/D (LC)]],IF(Table1[[#This Row],[Type]]="CN",Table1[[#This Row],[C/D (LC)]],"")),"")</f>
        <v>-122</v>
      </c>
      <c r="P423" t="str">
        <f>VLOOKUP(Table1[[#This Row],[Cust '#]],ClientInfo!$A:$B,2,0)</f>
        <v>Client_05</v>
      </c>
    </row>
    <row r="424" spans="1:16">
      <c r="A424" t="s">
        <v>111</v>
      </c>
      <c r="B424" t="s">
        <v>10</v>
      </c>
      <c r="C424">
        <v>700001464</v>
      </c>
      <c r="D424" s="1">
        <v>45532</v>
      </c>
      <c r="E424">
        <v>-24041.1</v>
      </c>
      <c r="F424">
        <v>0</v>
      </c>
      <c r="G424">
        <v>700001464</v>
      </c>
      <c r="H424" s="1">
        <v>45532</v>
      </c>
      <c r="I424">
        <f>YEAR(Table1[[#This Row],[Posting Date]])</f>
        <v>2024</v>
      </c>
      <c r="J424">
        <f>MONTH(Table1[[#This Row],[Posting Date]])</f>
        <v>8</v>
      </c>
      <c r="K424" t="str">
        <f>IF(Table1[[#This Row],[Type]]="IN",VLOOKUP(Table1[[#This Row],[Cust '#]],ClientInfo!$A:$D,4,0),"")</f>
        <v/>
      </c>
      <c r="L424" s="1" t="str">
        <f>IF(K424="NET30",Table1[[#This Row],[Posting Date]]+30,IF(K424="NET15",Table1[[#This Row],[Posting Date]]+15,IF(K424="COD",Table1[[#This Row],[Posting Date]],"")))</f>
        <v/>
      </c>
      <c r="M424" s="4" t="str">
        <f>IFERROR(IF(Table1[[#This Row],[Type]]="IN",Table1[[#This Row],[RC Date]]-Table1[[#This Row],[Posting Date]],""),"")</f>
        <v/>
      </c>
      <c r="N424">
        <f>IFERROR(IF(Table1[[#This Row],[Balance Due (LC)]]&lt;&gt;0,$S$1-L424,0),"")</f>
        <v>0</v>
      </c>
      <c r="O424" t="str">
        <f>IFERROR(IF(Table1[[#This Row],[Type]]="IN",Table1[[#This Row],[C/D (LC)]],IF(Table1[[#This Row],[Type]]="CN",Table1[[#This Row],[C/D (LC)]],"")),"")</f>
        <v/>
      </c>
      <c r="P424" t="str">
        <f>VLOOKUP(Table1[[#This Row],[Cust '#]],ClientInfo!$A:$B,2,0)</f>
        <v>Client_05</v>
      </c>
    </row>
    <row r="425" spans="1:16">
      <c r="A425" t="s">
        <v>111</v>
      </c>
      <c r="B425" t="s">
        <v>12</v>
      </c>
      <c r="C425">
        <v>140012929</v>
      </c>
      <c r="D425" s="1">
        <v>45539</v>
      </c>
      <c r="E425">
        <v>5099.2</v>
      </c>
      <c r="F425">
        <v>0</v>
      </c>
      <c r="G425">
        <v>700001822</v>
      </c>
      <c r="H425" s="1">
        <v>45581</v>
      </c>
      <c r="I425">
        <f>YEAR(Table1[[#This Row],[Posting Date]])</f>
        <v>2024</v>
      </c>
      <c r="J425">
        <f>MONTH(Table1[[#This Row],[Posting Date]])</f>
        <v>9</v>
      </c>
      <c r="K425" t="str">
        <f>IF(Table1[[#This Row],[Type]]="IN",VLOOKUP(Table1[[#This Row],[Cust '#]],ClientInfo!$A:$D,4,0),"")</f>
        <v>NET30</v>
      </c>
      <c r="L425" s="1">
        <f>IF(K425="NET30",Table1[[#This Row],[Posting Date]]+30,IF(K425="NET15",Table1[[#This Row],[Posting Date]]+15,IF(K425="COD",Table1[[#This Row],[Posting Date]],"")))</f>
        <v>45569</v>
      </c>
      <c r="M425" s="4">
        <f>IFERROR(IF(Table1[[#This Row],[Type]]="IN",Table1[[#This Row],[RC Date]]-Table1[[#This Row],[Posting Date]],""),"")</f>
        <v>42</v>
      </c>
      <c r="N425">
        <f>IFERROR(IF(Table1[[#This Row],[Balance Due (LC)]]&lt;&gt;0,$S$1-L425,0),"")</f>
        <v>0</v>
      </c>
      <c r="O425">
        <f>IFERROR(IF(Table1[[#This Row],[Type]]="IN",Table1[[#This Row],[C/D (LC)]],IF(Table1[[#This Row],[Type]]="CN",Table1[[#This Row],[C/D (LC)]],"")),"")</f>
        <v>5099.2</v>
      </c>
      <c r="P425" t="str">
        <f>VLOOKUP(Table1[[#This Row],[Cust '#]],ClientInfo!$A:$B,2,0)</f>
        <v>Client_05</v>
      </c>
    </row>
    <row r="426" spans="1:16">
      <c r="A426" t="s">
        <v>111</v>
      </c>
      <c r="B426" t="s">
        <v>12</v>
      </c>
      <c r="C426">
        <v>140013270</v>
      </c>
      <c r="D426" s="1">
        <v>45546</v>
      </c>
      <c r="E426">
        <v>1889.9</v>
      </c>
      <c r="F426">
        <v>0</v>
      </c>
      <c r="G426">
        <v>700001822</v>
      </c>
      <c r="H426" s="1">
        <v>45581</v>
      </c>
      <c r="I426">
        <f>YEAR(Table1[[#This Row],[Posting Date]])</f>
        <v>2024</v>
      </c>
      <c r="J426">
        <f>MONTH(Table1[[#This Row],[Posting Date]])</f>
        <v>9</v>
      </c>
      <c r="K426" t="str">
        <f>IF(Table1[[#This Row],[Type]]="IN",VLOOKUP(Table1[[#This Row],[Cust '#]],ClientInfo!$A:$D,4,0),"")</f>
        <v>NET30</v>
      </c>
      <c r="L426" s="1">
        <f>IF(K426="NET30",Table1[[#This Row],[Posting Date]]+30,IF(K426="NET15",Table1[[#This Row],[Posting Date]]+15,IF(K426="COD",Table1[[#This Row],[Posting Date]],"")))</f>
        <v>45576</v>
      </c>
      <c r="M426" s="4">
        <f>IFERROR(IF(Table1[[#This Row],[Type]]="IN",Table1[[#This Row],[RC Date]]-Table1[[#This Row],[Posting Date]],""),"")</f>
        <v>35</v>
      </c>
      <c r="N426">
        <f>IFERROR(IF(Table1[[#This Row],[Balance Due (LC)]]&lt;&gt;0,$S$1-L426,0),"")</f>
        <v>0</v>
      </c>
      <c r="O426">
        <f>IFERROR(IF(Table1[[#This Row],[Type]]="IN",Table1[[#This Row],[C/D (LC)]],IF(Table1[[#This Row],[Type]]="CN",Table1[[#This Row],[C/D (LC)]],"")),"")</f>
        <v>1889.9</v>
      </c>
      <c r="P426" t="str">
        <f>VLOOKUP(Table1[[#This Row],[Cust '#]],ClientInfo!$A:$B,2,0)</f>
        <v>Client_05</v>
      </c>
    </row>
    <row r="427" spans="1:16">
      <c r="A427" t="s">
        <v>111</v>
      </c>
      <c r="B427" t="s">
        <v>12</v>
      </c>
      <c r="C427">
        <v>140013607</v>
      </c>
      <c r="D427" s="1">
        <v>45553</v>
      </c>
      <c r="E427">
        <v>3634.4</v>
      </c>
      <c r="F427">
        <v>0</v>
      </c>
      <c r="G427">
        <v>700001822</v>
      </c>
      <c r="H427" s="1">
        <v>45581</v>
      </c>
      <c r="I427">
        <f>YEAR(Table1[[#This Row],[Posting Date]])</f>
        <v>2024</v>
      </c>
      <c r="J427">
        <f>MONTH(Table1[[#This Row],[Posting Date]])</f>
        <v>9</v>
      </c>
      <c r="K427" t="str">
        <f>IF(Table1[[#This Row],[Type]]="IN",VLOOKUP(Table1[[#This Row],[Cust '#]],ClientInfo!$A:$D,4,0),"")</f>
        <v>NET30</v>
      </c>
      <c r="L427" s="1">
        <f>IF(K427="NET30",Table1[[#This Row],[Posting Date]]+30,IF(K427="NET15",Table1[[#This Row],[Posting Date]]+15,IF(K427="COD",Table1[[#This Row],[Posting Date]],"")))</f>
        <v>45583</v>
      </c>
      <c r="M427" s="4">
        <f>IFERROR(IF(Table1[[#This Row],[Type]]="IN",Table1[[#This Row],[RC Date]]-Table1[[#This Row],[Posting Date]],""),"")</f>
        <v>28</v>
      </c>
      <c r="N427">
        <f>IFERROR(IF(Table1[[#This Row],[Balance Due (LC)]]&lt;&gt;0,$S$1-L427,0),"")</f>
        <v>0</v>
      </c>
      <c r="O427">
        <f>IFERROR(IF(Table1[[#This Row],[Type]]="IN",Table1[[#This Row],[C/D (LC)]],IF(Table1[[#This Row],[Type]]="CN",Table1[[#This Row],[C/D (LC)]],"")),"")</f>
        <v>3634.4</v>
      </c>
      <c r="P427" t="str">
        <f>VLOOKUP(Table1[[#This Row],[Cust '#]],ClientInfo!$A:$B,2,0)</f>
        <v>Client_05</v>
      </c>
    </row>
    <row r="428" spans="1:16">
      <c r="A428" t="s">
        <v>111</v>
      </c>
      <c r="B428" t="s">
        <v>12</v>
      </c>
      <c r="C428">
        <v>140013915</v>
      </c>
      <c r="D428" s="1">
        <v>45560</v>
      </c>
      <c r="E428">
        <v>4035.4</v>
      </c>
      <c r="F428">
        <v>0</v>
      </c>
      <c r="G428">
        <v>700001822</v>
      </c>
      <c r="H428" s="1">
        <v>45581</v>
      </c>
      <c r="I428">
        <f>YEAR(Table1[[#This Row],[Posting Date]])</f>
        <v>2024</v>
      </c>
      <c r="J428">
        <f>MONTH(Table1[[#This Row],[Posting Date]])</f>
        <v>9</v>
      </c>
      <c r="K428" t="str">
        <f>IF(Table1[[#This Row],[Type]]="IN",VLOOKUP(Table1[[#This Row],[Cust '#]],ClientInfo!$A:$D,4,0),"")</f>
        <v>NET30</v>
      </c>
      <c r="L428" s="1">
        <f>IF(K428="NET30",Table1[[#This Row],[Posting Date]]+30,IF(K428="NET15",Table1[[#This Row],[Posting Date]]+15,IF(K428="COD",Table1[[#This Row],[Posting Date]],"")))</f>
        <v>45590</v>
      </c>
      <c r="M428" s="4">
        <f>IFERROR(IF(Table1[[#This Row],[Type]]="IN",Table1[[#This Row],[RC Date]]-Table1[[#This Row],[Posting Date]],""),"")</f>
        <v>21</v>
      </c>
      <c r="N428">
        <f>IFERROR(IF(Table1[[#This Row],[Balance Due (LC)]]&lt;&gt;0,$S$1-L428,0),"")</f>
        <v>0</v>
      </c>
      <c r="O428">
        <f>IFERROR(IF(Table1[[#This Row],[Type]]="IN",Table1[[#This Row],[C/D (LC)]],IF(Table1[[#This Row],[Type]]="CN",Table1[[#This Row],[C/D (LC)]],"")),"")</f>
        <v>4035.4</v>
      </c>
      <c r="P428" t="str">
        <f>VLOOKUP(Table1[[#This Row],[Cust '#]],ClientInfo!$A:$B,2,0)</f>
        <v>Client_05</v>
      </c>
    </row>
    <row r="429" spans="1:16">
      <c r="A429" t="s">
        <v>111</v>
      </c>
      <c r="B429" t="s">
        <v>12</v>
      </c>
      <c r="C429">
        <v>140014440</v>
      </c>
      <c r="D429" s="1">
        <v>45569</v>
      </c>
      <c r="E429">
        <v>8121</v>
      </c>
      <c r="F429">
        <v>0</v>
      </c>
      <c r="G429">
        <v>700002201</v>
      </c>
      <c r="H429" s="1">
        <v>45635</v>
      </c>
      <c r="I429">
        <f>YEAR(Table1[[#This Row],[Posting Date]])</f>
        <v>2024</v>
      </c>
      <c r="J429">
        <f>MONTH(Table1[[#This Row],[Posting Date]])</f>
        <v>10</v>
      </c>
      <c r="K429" t="str">
        <f>IF(Table1[[#This Row],[Type]]="IN",VLOOKUP(Table1[[#This Row],[Cust '#]],ClientInfo!$A:$D,4,0),"")</f>
        <v>NET30</v>
      </c>
      <c r="L429" s="1">
        <f>IF(K429="NET30",Table1[[#This Row],[Posting Date]]+30,IF(K429="NET15",Table1[[#This Row],[Posting Date]]+15,IF(K429="COD",Table1[[#This Row],[Posting Date]],"")))</f>
        <v>45599</v>
      </c>
      <c r="M429" s="4">
        <f>IFERROR(IF(Table1[[#This Row],[Type]]="IN",Table1[[#This Row],[RC Date]]-Table1[[#This Row],[Posting Date]],""),"")</f>
        <v>66</v>
      </c>
      <c r="N429">
        <f>IFERROR(IF(Table1[[#This Row],[Balance Due (LC)]]&lt;&gt;0,$S$1-L429,0),"")</f>
        <v>0</v>
      </c>
      <c r="O429">
        <f>IFERROR(IF(Table1[[#This Row],[Type]]="IN",Table1[[#This Row],[C/D (LC)]],IF(Table1[[#This Row],[Type]]="CN",Table1[[#This Row],[C/D (LC)]],"")),"")</f>
        <v>8121</v>
      </c>
      <c r="P429" t="str">
        <f>VLOOKUP(Table1[[#This Row],[Cust '#]],ClientInfo!$A:$B,2,0)</f>
        <v>Client_05</v>
      </c>
    </row>
    <row r="430" spans="1:16">
      <c r="A430" t="s">
        <v>111</v>
      </c>
      <c r="B430" t="s">
        <v>10</v>
      </c>
      <c r="C430">
        <v>700001822</v>
      </c>
      <c r="D430" s="1">
        <v>45581</v>
      </c>
      <c r="E430">
        <v>-28448.400000000001</v>
      </c>
      <c r="F430">
        <v>0</v>
      </c>
      <c r="G430">
        <v>700001822</v>
      </c>
      <c r="H430" s="1">
        <v>45581</v>
      </c>
      <c r="I430">
        <f>YEAR(Table1[[#This Row],[Posting Date]])</f>
        <v>2024</v>
      </c>
      <c r="J430">
        <f>MONTH(Table1[[#This Row],[Posting Date]])</f>
        <v>10</v>
      </c>
      <c r="K430" t="str">
        <f>IF(Table1[[#This Row],[Type]]="IN",VLOOKUP(Table1[[#This Row],[Cust '#]],ClientInfo!$A:$D,4,0),"")</f>
        <v/>
      </c>
      <c r="L430" s="1" t="str">
        <f>IF(K430="NET30",Table1[[#This Row],[Posting Date]]+30,IF(K430="NET15",Table1[[#This Row],[Posting Date]]+15,IF(K430="COD",Table1[[#This Row],[Posting Date]],"")))</f>
        <v/>
      </c>
      <c r="M430" s="4" t="str">
        <f>IFERROR(IF(Table1[[#This Row],[Type]]="IN",Table1[[#This Row],[RC Date]]-Table1[[#This Row],[Posting Date]],""),"")</f>
        <v/>
      </c>
      <c r="N430">
        <f>IFERROR(IF(Table1[[#This Row],[Balance Due (LC)]]&lt;&gt;0,$S$1-L430,0),"")</f>
        <v>0</v>
      </c>
      <c r="O430" t="str">
        <f>IFERROR(IF(Table1[[#This Row],[Type]]="IN",Table1[[#This Row],[C/D (LC)]],IF(Table1[[#This Row],[Type]]="CN",Table1[[#This Row],[C/D (LC)]],"")),"")</f>
        <v/>
      </c>
      <c r="P430" t="str">
        <f>VLOOKUP(Table1[[#This Row],[Cust '#]],ClientInfo!$A:$B,2,0)</f>
        <v>Client_05</v>
      </c>
    </row>
    <row r="431" spans="1:16">
      <c r="A431" t="s">
        <v>111</v>
      </c>
      <c r="B431" t="s">
        <v>12</v>
      </c>
      <c r="C431">
        <v>140014922</v>
      </c>
      <c r="D431" s="1">
        <v>45581</v>
      </c>
      <c r="E431">
        <v>6518.8</v>
      </c>
      <c r="F431">
        <v>0</v>
      </c>
      <c r="G431">
        <v>700002201</v>
      </c>
      <c r="H431" s="1">
        <v>45635</v>
      </c>
      <c r="I431">
        <f>YEAR(Table1[[#This Row],[Posting Date]])</f>
        <v>2024</v>
      </c>
      <c r="J431">
        <f>MONTH(Table1[[#This Row],[Posting Date]])</f>
        <v>10</v>
      </c>
      <c r="K431" t="str">
        <f>IF(Table1[[#This Row],[Type]]="IN",VLOOKUP(Table1[[#This Row],[Cust '#]],ClientInfo!$A:$D,4,0),"")</f>
        <v>NET30</v>
      </c>
      <c r="L431" s="1">
        <f>IF(K431="NET30",Table1[[#This Row],[Posting Date]]+30,IF(K431="NET15",Table1[[#This Row],[Posting Date]]+15,IF(K431="COD",Table1[[#This Row],[Posting Date]],"")))</f>
        <v>45611</v>
      </c>
      <c r="M431" s="4">
        <f>IFERROR(IF(Table1[[#This Row],[Type]]="IN",Table1[[#This Row],[RC Date]]-Table1[[#This Row],[Posting Date]],""),"")</f>
        <v>54</v>
      </c>
      <c r="N431">
        <f>IFERROR(IF(Table1[[#This Row],[Balance Due (LC)]]&lt;&gt;0,$S$1-L431,0),"")</f>
        <v>0</v>
      </c>
      <c r="O431">
        <f>IFERROR(IF(Table1[[#This Row],[Type]]="IN",Table1[[#This Row],[C/D (LC)]],IF(Table1[[#This Row],[Type]]="CN",Table1[[#This Row],[C/D (LC)]],"")),"")</f>
        <v>6518.8</v>
      </c>
      <c r="P431" t="str">
        <f>VLOOKUP(Table1[[#This Row],[Cust '#]],ClientInfo!$A:$B,2,0)</f>
        <v>Client_05</v>
      </c>
    </row>
    <row r="432" spans="1:16">
      <c r="A432" t="s">
        <v>111</v>
      </c>
      <c r="B432" t="s">
        <v>13</v>
      </c>
      <c r="C432">
        <v>150000653</v>
      </c>
      <c r="D432" s="1">
        <v>45583</v>
      </c>
      <c r="E432">
        <v>-51</v>
      </c>
      <c r="F432">
        <v>0</v>
      </c>
      <c r="G432">
        <v>700002201</v>
      </c>
      <c r="H432" s="1">
        <v>45635</v>
      </c>
      <c r="I432">
        <f>YEAR(Table1[[#This Row],[Posting Date]])</f>
        <v>2024</v>
      </c>
      <c r="J432">
        <f>MONTH(Table1[[#This Row],[Posting Date]])</f>
        <v>10</v>
      </c>
      <c r="K432" t="str">
        <f>IF(Table1[[#This Row],[Type]]="IN",VLOOKUP(Table1[[#This Row],[Cust '#]],ClientInfo!$A:$D,4,0),"")</f>
        <v/>
      </c>
      <c r="L432" s="1" t="str">
        <f>IF(K432="NET30",Table1[[#This Row],[Posting Date]]+30,IF(K432="NET15",Table1[[#This Row],[Posting Date]]+15,IF(K432="COD",Table1[[#This Row],[Posting Date]],"")))</f>
        <v/>
      </c>
      <c r="M432" s="4" t="str">
        <f>IFERROR(IF(Table1[[#This Row],[Type]]="IN",Table1[[#This Row],[RC Date]]-Table1[[#This Row],[Posting Date]],""),"")</f>
        <v/>
      </c>
      <c r="N432">
        <f>IFERROR(IF(Table1[[#This Row],[Balance Due (LC)]]&lt;&gt;0,$S$1-L432,0),"")</f>
        <v>0</v>
      </c>
      <c r="O432">
        <f>IFERROR(IF(Table1[[#This Row],[Type]]="IN",Table1[[#This Row],[C/D (LC)]],IF(Table1[[#This Row],[Type]]="CN",Table1[[#This Row],[C/D (LC)]],"")),"")</f>
        <v>-51</v>
      </c>
      <c r="P432" t="str">
        <f>VLOOKUP(Table1[[#This Row],[Cust '#]],ClientInfo!$A:$B,2,0)</f>
        <v>Client_05</v>
      </c>
    </row>
    <row r="433" spans="1:16">
      <c r="A433" t="s">
        <v>111</v>
      </c>
      <c r="B433" t="s">
        <v>12</v>
      </c>
      <c r="C433">
        <v>140015259</v>
      </c>
      <c r="D433" s="1">
        <v>45588</v>
      </c>
      <c r="E433">
        <v>3985.7</v>
      </c>
      <c r="F433">
        <v>0</v>
      </c>
      <c r="G433">
        <v>700002201</v>
      </c>
      <c r="H433" s="1">
        <v>45635</v>
      </c>
      <c r="I433">
        <f>YEAR(Table1[[#This Row],[Posting Date]])</f>
        <v>2024</v>
      </c>
      <c r="J433">
        <f>MONTH(Table1[[#This Row],[Posting Date]])</f>
        <v>10</v>
      </c>
      <c r="K433" t="str">
        <f>IF(Table1[[#This Row],[Type]]="IN",VLOOKUP(Table1[[#This Row],[Cust '#]],ClientInfo!$A:$D,4,0),"")</f>
        <v>NET30</v>
      </c>
      <c r="L433" s="1">
        <f>IF(K433="NET30",Table1[[#This Row],[Posting Date]]+30,IF(K433="NET15",Table1[[#This Row],[Posting Date]]+15,IF(K433="COD",Table1[[#This Row],[Posting Date]],"")))</f>
        <v>45618</v>
      </c>
      <c r="M433" s="4">
        <f>IFERROR(IF(Table1[[#This Row],[Type]]="IN",Table1[[#This Row],[RC Date]]-Table1[[#This Row],[Posting Date]],""),"")</f>
        <v>47</v>
      </c>
      <c r="N433">
        <f>IFERROR(IF(Table1[[#This Row],[Balance Due (LC)]]&lt;&gt;0,$S$1-L433,0),"")</f>
        <v>0</v>
      </c>
      <c r="O433">
        <f>IFERROR(IF(Table1[[#This Row],[Type]]="IN",Table1[[#This Row],[C/D (LC)]],IF(Table1[[#This Row],[Type]]="CN",Table1[[#This Row],[C/D (LC)]],"")),"")</f>
        <v>3985.7</v>
      </c>
      <c r="P433" t="str">
        <f>VLOOKUP(Table1[[#This Row],[Cust '#]],ClientInfo!$A:$B,2,0)</f>
        <v>Client_05</v>
      </c>
    </row>
    <row r="434" spans="1:16">
      <c r="A434" t="s">
        <v>111</v>
      </c>
      <c r="B434" t="s">
        <v>12</v>
      </c>
      <c r="C434">
        <v>140015931</v>
      </c>
      <c r="D434" s="1">
        <v>45602</v>
      </c>
      <c r="E434">
        <v>6849.33</v>
      </c>
      <c r="F434">
        <v>0</v>
      </c>
      <c r="G434">
        <v>700002201</v>
      </c>
      <c r="H434" s="1">
        <v>45635</v>
      </c>
      <c r="I434">
        <f>YEAR(Table1[[#This Row],[Posting Date]])</f>
        <v>2024</v>
      </c>
      <c r="J434">
        <f>MONTH(Table1[[#This Row],[Posting Date]])</f>
        <v>11</v>
      </c>
      <c r="K434" t="str">
        <f>IF(Table1[[#This Row],[Type]]="IN",VLOOKUP(Table1[[#This Row],[Cust '#]],ClientInfo!$A:$D,4,0),"")</f>
        <v>NET30</v>
      </c>
      <c r="L434" s="1">
        <f>IF(K434="NET30",Table1[[#This Row],[Posting Date]]+30,IF(K434="NET15",Table1[[#This Row],[Posting Date]]+15,IF(K434="COD",Table1[[#This Row],[Posting Date]],"")))</f>
        <v>45632</v>
      </c>
      <c r="M434" s="4">
        <f>IFERROR(IF(Table1[[#This Row],[Type]]="IN",Table1[[#This Row],[RC Date]]-Table1[[#This Row],[Posting Date]],""),"")</f>
        <v>33</v>
      </c>
      <c r="N434">
        <f>IFERROR(IF(Table1[[#This Row],[Balance Due (LC)]]&lt;&gt;0,$S$1-L434,0),"")</f>
        <v>0</v>
      </c>
      <c r="O434">
        <f>IFERROR(IF(Table1[[#This Row],[Type]]="IN",Table1[[#This Row],[C/D (LC)]],IF(Table1[[#This Row],[Type]]="CN",Table1[[#This Row],[C/D (LC)]],"")),"")</f>
        <v>6849.33</v>
      </c>
      <c r="P434" t="str">
        <f>VLOOKUP(Table1[[#This Row],[Cust '#]],ClientInfo!$A:$B,2,0)</f>
        <v>Client_05</v>
      </c>
    </row>
    <row r="435" spans="1:16">
      <c r="A435" t="s">
        <v>111</v>
      </c>
      <c r="B435" t="s">
        <v>12</v>
      </c>
      <c r="C435">
        <v>140016286</v>
      </c>
      <c r="D435" s="1">
        <v>45609</v>
      </c>
      <c r="E435">
        <v>2855.4</v>
      </c>
      <c r="F435">
        <v>0</v>
      </c>
      <c r="G435">
        <v>700002201</v>
      </c>
      <c r="H435" s="1">
        <v>45635</v>
      </c>
      <c r="I435">
        <f>YEAR(Table1[[#This Row],[Posting Date]])</f>
        <v>2024</v>
      </c>
      <c r="J435">
        <f>MONTH(Table1[[#This Row],[Posting Date]])</f>
        <v>11</v>
      </c>
      <c r="K435" t="str">
        <f>IF(Table1[[#This Row],[Type]]="IN",VLOOKUP(Table1[[#This Row],[Cust '#]],ClientInfo!$A:$D,4,0),"")</f>
        <v>NET30</v>
      </c>
      <c r="L435" s="1">
        <f>IF(K435="NET30",Table1[[#This Row],[Posting Date]]+30,IF(K435="NET15",Table1[[#This Row],[Posting Date]]+15,IF(K435="COD",Table1[[#This Row],[Posting Date]],"")))</f>
        <v>45639</v>
      </c>
      <c r="M435" s="4">
        <f>IFERROR(IF(Table1[[#This Row],[Type]]="IN",Table1[[#This Row],[RC Date]]-Table1[[#This Row],[Posting Date]],""),"")</f>
        <v>26</v>
      </c>
      <c r="N435">
        <f>IFERROR(IF(Table1[[#This Row],[Balance Due (LC)]]&lt;&gt;0,$S$1-L435,0),"")</f>
        <v>0</v>
      </c>
      <c r="O435">
        <f>IFERROR(IF(Table1[[#This Row],[Type]]="IN",Table1[[#This Row],[C/D (LC)]],IF(Table1[[#This Row],[Type]]="CN",Table1[[#This Row],[C/D (LC)]],"")),"")</f>
        <v>2855.4</v>
      </c>
      <c r="P435" t="str">
        <f>VLOOKUP(Table1[[#This Row],[Cust '#]],ClientInfo!$A:$B,2,0)</f>
        <v>Client_05</v>
      </c>
    </row>
    <row r="436" spans="1:16">
      <c r="A436" t="s">
        <v>111</v>
      </c>
      <c r="B436" t="s">
        <v>13</v>
      </c>
      <c r="C436">
        <v>150000703</v>
      </c>
      <c r="D436" s="1">
        <v>45610</v>
      </c>
      <c r="E436">
        <v>-52</v>
      </c>
      <c r="F436">
        <v>0</v>
      </c>
      <c r="G436">
        <v>700002201</v>
      </c>
      <c r="H436" s="1">
        <v>45635</v>
      </c>
      <c r="I436">
        <f>YEAR(Table1[[#This Row],[Posting Date]])</f>
        <v>2024</v>
      </c>
      <c r="J436">
        <f>MONTH(Table1[[#This Row],[Posting Date]])</f>
        <v>11</v>
      </c>
      <c r="K436" t="str">
        <f>IF(Table1[[#This Row],[Type]]="IN",VLOOKUP(Table1[[#This Row],[Cust '#]],ClientInfo!$A:$D,4,0),"")</f>
        <v/>
      </c>
      <c r="L436" s="1" t="str">
        <f>IF(K436="NET30",Table1[[#This Row],[Posting Date]]+30,IF(K436="NET15",Table1[[#This Row],[Posting Date]]+15,IF(K436="COD",Table1[[#This Row],[Posting Date]],"")))</f>
        <v/>
      </c>
      <c r="M436" s="4" t="str">
        <f>IFERROR(IF(Table1[[#This Row],[Type]]="IN",Table1[[#This Row],[RC Date]]-Table1[[#This Row],[Posting Date]],""),"")</f>
        <v/>
      </c>
      <c r="N436">
        <f>IFERROR(IF(Table1[[#This Row],[Balance Due (LC)]]&lt;&gt;0,$S$1-L436,0),"")</f>
        <v>0</v>
      </c>
      <c r="O436">
        <f>IFERROR(IF(Table1[[#This Row],[Type]]="IN",Table1[[#This Row],[C/D (LC)]],IF(Table1[[#This Row],[Type]]="CN",Table1[[#This Row],[C/D (LC)]],"")),"")</f>
        <v>-52</v>
      </c>
      <c r="P436" t="str">
        <f>VLOOKUP(Table1[[#This Row],[Cust '#]],ClientInfo!$A:$B,2,0)</f>
        <v>Client_05</v>
      </c>
    </row>
    <row r="437" spans="1:16">
      <c r="A437" t="s">
        <v>111</v>
      </c>
      <c r="B437" t="s">
        <v>12</v>
      </c>
      <c r="C437">
        <v>140016635</v>
      </c>
      <c r="D437" s="1">
        <v>45616</v>
      </c>
      <c r="E437">
        <v>6019.8</v>
      </c>
      <c r="F437">
        <v>0</v>
      </c>
      <c r="G437">
        <v>700002201</v>
      </c>
      <c r="H437" s="1">
        <v>45635</v>
      </c>
      <c r="I437">
        <f>YEAR(Table1[[#This Row],[Posting Date]])</f>
        <v>2024</v>
      </c>
      <c r="J437">
        <f>MONTH(Table1[[#This Row],[Posting Date]])</f>
        <v>11</v>
      </c>
      <c r="K437" t="str">
        <f>IF(Table1[[#This Row],[Type]]="IN",VLOOKUP(Table1[[#This Row],[Cust '#]],ClientInfo!$A:$D,4,0),"")</f>
        <v>NET30</v>
      </c>
      <c r="L437" s="1">
        <f>IF(K437="NET30",Table1[[#This Row],[Posting Date]]+30,IF(K437="NET15",Table1[[#This Row],[Posting Date]]+15,IF(K437="COD",Table1[[#This Row],[Posting Date]],"")))</f>
        <v>45646</v>
      </c>
      <c r="M437" s="4">
        <f>IFERROR(IF(Table1[[#This Row],[Type]]="IN",Table1[[#This Row],[RC Date]]-Table1[[#This Row],[Posting Date]],""),"")</f>
        <v>19</v>
      </c>
      <c r="N437">
        <f>IFERROR(IF(Table1[[#This Row],[Balance Due (LC)]]&lt;&gt;0,$S$1-L437,0),"")</f>
        <v>0</v>
      </c>
      <c r="O437">
        <f>IFERROR(IF(Table1[[#This Row],[Type]]="IN",Table1[[#This Row],[C/D (LC)]],IF(Table1[[#This Row],[Type]]="CN",Table1[[#This Row],[C/D (LC)]],"")),"")</f>
        <v>6019.8</v>
      </c>
      <c r="P437" t="str">
        <f>VLOOKUP(Table1[[#This Row],[Cust '#]],ClientInfo!$A:$B,2,0)</f>
        <v>Client_05</v>
      </c>
    </row>
    <row r="438" spans="1:16">
      <c r="A438" t="s">
        <v>111</v>
      </c>
      <c r="B438" t="s">
        <v>12</v>
      </c>
      <c r="C438">
        <v>140017274</v>
      </c>
      <c r="D438" s="1">
        <v>45630</v>
      </c>
      <c r="E438">
        <v>7440.24</v>
      </c>
      <c r="F438">
        <v>0</v>
      </c>
      <c r="G438">
        <v>700002703</v>
      </c>
      <c r="H438" s="1">
        <v>45699</v>
      </c>
      <c r="I438">
        <f>YEAR(Table1[[#This Row],[Posting Date]])</f>
        <v>2024</v>
      </c>
      <c r="J438">
        <f>MONTH(Table1[[#This Row],[Posting Date]])</f>
        <v>12</v>
      </c>
      <c r="K438" t="str">
        <f>IF(Table1[[#This Row],[Type]]="IN",VLOOKUP(Table1[[#This Row],[Cust '#]],ClientInfo!$A:$D,4,0),"")</f>
        <v>NET30</v>
      </c>
      <c r="L438" s="1">
        <f>IF(K438="NET30",Table1[[#This Row],[Posting Date]]+30,IF(K438="NET15",Table1[[#This Row],[Posting Date]]+15,IF(K438="COD",Table1[[#This Row],[Posting Date]],"")))</f>
        <v>45660</v>
      </c>
      <c r="M438" s="4">
        <f>IFERROR(IF(Table1[[#This Row],[Type]]="IN",Table1[[#This Row],[RC Date]]-Table1[[#This Row],[Posting Date]],""),"")</f>
        <v>69</v>
      </c>
      <c r="N438">
        <f>IFERROR(IF(Table1[[#This Row],[Balance Due (LC)]]&lt;&gt;0,$S$1-L438,0),"")</f>
        <v>0</v>
      </c>
      <c r="O438">
        <f>IFERROR(IF(Table1[[#This Row],[Type]]="IN",Table1[[#This Row],[C/D (LC)]],IF(Table1[[#This Row],[Type]]="CN",Table1[[#This Row],[C/D (LC)]],"")),"")</f>
        <v>7440.24</v>
      </c>
      <c r="P438" t="str">
        <f>VLOOKUP(Table1[[#This Row],[Cust '#]],ClientInfo!$A:$B,2,0)</f>
        <v>Client_05</v>
      </c>
    </row>
    <row r="439" spans="1:16">
      <c r="A439" t="s">
        <v>111</v>
      </c>
      <c r="B439" t="s">
        <v>10</v>
      </c>
      <c r="C439">
        <v>700002201</v>
      </c>
      <c r="D439" s="1">
        <v>45635</v>
      </c>
      <c r="E439">
        <v>-34026.03</v>
      </c>
      <c r="F439">
        <v>0</v>
      </c>
      <c r="G439">
        <v>700002201</v>
      </c>
      <c r="H439" s="1">
        <v>45635</v>
      </c>
      <c r="I439">
        <f>YEAR(Table1[[#This Row],[Posting Date]])</f>
        <v>2024</v>
      </c>
      <c r="J439">
        <f>MONTH(Table1[[#This Row],[Posting Date]])</f>
        <v>12</v>
      </c>
      <c r="K439" t="str">
        <f>IF(Table1[[#This Row],[Type]]="IN",VLOOKUP(Table1[[#This Row],[Cust '#]],ClientInfo!$A:$D,4,0),"")</f>
        <v/>
      </c>
      <c r="L439" s="1" t="str">
        <f>IF(K439="NET30",Table1[[#This Row],[Posting Date]]+30,IF(K439="NET15",Table1[[#This Row],[Posting Date]]+15,IF(K439="COD",Table1[[#This Row],[Posting Date]],"")))</f>
        <v/>
      </c>
      <c r="M439" s="4" t="str">
        <f>IFERROR(IF(Table1[[#This Row],[Type]]="IN",Table1[[#This Row],[RC Date]]-Table1[[#This Row],[Posting Date]],""),"")</f>
        <v/>
      </c>
      <c r="N439">
        <f>IFERROR(IF(Table1[[#This Row],[Balance Due (LC)]]&lt;&gt;0,$S$1-L439,0),"")</f>
        <v>0</v>
      </c>
      <c r="O439" t="str">
        <f>IFERROR(IF(Table1[[#This Row],[Type]]="IN",Table1[[#This Row],[C/D (LC)]],IF(Table1[[#This Row],[Type]]="CN",Table1[[#This Row],[C/D (LC)]],"")),"")</f>
        <v/>
      </c>
      <c r="P439" t="str">
        <f>VLOOKUP(Table1[[#This Row],[Cust '#]],ClientInfo!$A:$B,2,0)</f>
        <v>Client_05</v>
      </c>
    </row>
    <row r="440" spans="1:16">
      <c r="A440" t="s">
        <v>111</v>
      </c>
      <c r="B440" t="s">
        <v>12</v>
      </c>
      <c r="C440">
        <v>140017597</v>
      </c>
      <c r="D440" s="1">
        <v>45637</v>
      </c>
      <c r="E440">
        <v>3349.2</v>
      </c>
      <c r="F440">
        <v>0</v>
      </c>
      <c r="G440">
        <v>700002703</v>
      </c>
      <c r="H440" s="1">
        <v>45699</v>
      </c>
      <c r="I440">
        <f>YEAR(Table1[[#This Row],[Posting Date]])</f>
        <v>2024</v>
      </c>
      <c r="J440">
        <f>MONTH(Table1[[#This Row],[Posting Date]])</f>
        <v>12</v>
      </c>
      <c r="K440" t="str">
        <f>IF(Table1[[#This Row],[Type]]="IN",VLOOKUP(Table1[[#This Row],[Cust '#]],ClientInfo!$A:$D,4,0),"")</f>
        <v>NET30</v>
      </c>
      <c r="L440" s="1">
        <f>IF(K440="NET30",Table1[[#This Row],[Posting Date]]+30,IF(K440="NET15",Table1[[#This Row],[Posting Date]]+15,IF(K440="COD",Table1[[#This Row],[Posting Date]],"")))</f>
        <v>45667</v>
      </c>
      <c r="M440" s="4">
        <f>IFERROR(IF(Table1[[#This Row],[Type]]="IN",Table1[[#This Row],[RC Date]]-Table1[[#This Row],[Posting Date]],""),"")</f>
        <v>62</v>
      </c>
      <c r="N440">
        <f>IFERROR(IF(Table1[[#This Row],[Balance Due (LC)]]&lt;&gt;0,$S$1-L440,0),"")</f>
        <v>0</v>
      </c>
      <c r="O440">
        <f>IFERROR(IF(Table1[[#This Row],[Type]]="IN",Table1[[#This Row],[C/D (LC)]],IF(Table1[[#This Row],[Type]]="CN",Table1[[#This Row],[C/D (LC)]],"")),"")</f>
        <v>3349.2</v>
      </c>
      <c r="P440" t="str">
        <f>VLOOKUP(Table1[[#This Row],[Cust '#]],ClientInfo!$A:$B,2,0)</f>
        <v>Client_05</v>
      </c>
    </row>
    <row r="441" spans="1:16">
      <c r="A441" t="s">
        <v>111</v>
      </c>
      <c r="B441" t="s">
        <v>13</v>
      </c>
      <c r="C441">
        <v>150000743</v>
      </c>
      <c r="D441" s="1">
        <v>45637</v>
      </c>
      <c r="E441">
        <v>-35</v>
      </c>
      <c r="F441">
        <v>0</v>
      </c>
      <c r="G441">
        <v>700003070</v>
      </c>
      <c r="H441" s="1">
        <v>45743</v>
      </c>
      <c r="I441">
        <f>YEAR(Table1[[#This Row],[Posting Date]])</f>
        <v>2024</v>
      </c>
      <c r="J441">
        <f>MONTH(Table1[[#This Row],[Posting Date]])</f>
        <v>12</v>
      </c>
      <c r="K441" t="str">
        <f>IF(Table1[[#This Row],[Type]]="IN",VLOOKUP(Table1[[#This Row],[Cust '#]],ClientInfo!$A:$D,4,0),"")</f>
        <v/>
      </c>
      <c r="L441" s="1" t="str">
        <f>IF(K441="NET30",Table1[[#This Row],[Posting Date]]+30,IF(K441="NET15",Table1[[#This Row],[Posting Date]]+15,IF(K441="COD",Table1[[#This Row],[Posting Date]],"")))</f>
        <v/>
      </c>
      <c r="M441" s="4" t="str">
        <f>IFERROR(IF(Table1[[#This Row],[Type]]="IN",Table1[[#This Row],[RC Date]]-Table1[[#This Row],[Posting Date]],""),"")</f>
        <v/>
      </c>
      <c r="N441">
        <f>IFERROR(IF(Table1[[#This Row],[Balance Due (LC)]]&lt;&gt;0,$S$1-L441,0),"")</f>
        <v>0</v>
      </c>
      <c r="O441">
        <f>IFERROR(IF(Table1[[#This Row],[Type]]="IN",Table1[[#This Row],[C/D (LC)]],IF(Table1[[#This Row],[Type]]="CN",Table1[[#This Row],[C/D (LC)]],"")),"")</f>
        <v>-35</v>
      </c>
      <c r="P441" t="str">
        <f>VLOOKUP(Table1[[#This Row],[Cust '#]],ClientInfo!$A:$B,2,0)</f>
        <v>Client_05</v>
      </c>
    </row>
    <row r="442" spans="1:16">
      <c r="A442" t="s">
        <v>111</v>
      </c>
      <c r="B442" t="s">
        <v>12</v>
      </c>
      <c r="C442">
        <v>140017947</v>
      </c>
      <c r="D442" s="1">
        <v>45644</v>
      </c>
      <c r="E442">
        <v>3852.7</v>
      </c>
      <c r="F442">
        <v>0</v>
      </c>
      <c r="G442">
        <v>700002703</v>
      </c>
      <c r="H442" s="1">
        <v>45699</v>
      </c>
      <c r="I442">
        <f>YEAR(Table1[[#This Row],[Posting Date]])</f>
        <v>2024</v>
      </c>
      <c r="J442">
        <f>MONTH(Table1[[#This Row],[Posting Date]])</f>
        <v>12</v>
      </c>
      <c r="K442" t="str">
        <f>IF(Table1[[#This Row],[Type]]="IN",VLOOKUP(Table1[[#This Row],[Cust '#]],ClientInfo!$A:$D,4,0),"")</f>
        <v>NET30</v>
      </c>
      <c r="L442" s="1">
        <f>IF(K442="NET30",Table1[[#This Row],[Posting Date]]+30,IF(K442="NET15",Table1[[#This Row],[Posting Date]]+15,IF(K442="COD",Table1[[#This Row],[Posting Date]],"")))</f>
        <v>45674</v>
      </c>
      <c r="M442" s="4">
        <f>IFERROR(IF(Table1[[#This Row],[Type]]="IN",Table1[[#This Row],[RC Date]]-Table1[[#This Row],[Posting Date]],""),"")</f>
        <v>55</v>
      </c>
      <c r="N442">
        <f>IFERROR(IF(Table1[[#This Row],[Balance Due (LC)]]&lt;&gt;0,$S$1-L442,0),"")</f>
        <v>0</v>
      </c>
      <c r="O442">
        <f>IFERROR(IF(Table1[[#This Row],[Type]]="IN",Table1[[#This Row],[C/D (LC)]],IF(Table1[[#This Row],[Type]]="CN",Table1[[#This Row],[C/D (LC)]],"")),"")</f>
        <v>3852.7</v>
      </c>
      <c r="P442" t="str">
        <f>VLOOKUP(Table1[[#This Row],[Cust '#]],ClientInfo!$A:$B,2,0)</f>
        <v>Client_05</v>
      </c>
    </row>
    <row r="443" spans="1:16">
      <c r="A443" t="s">
        <v>111</v>
      </c>
      <c r="B443" t="s">
        <v>12</v>
      </c>
      <c r="C443">
        <v>140018578</v>
      </c>
      <c r="D443" s="1">
        <v>45657</v>
      </c>
      <c r="E443">
        <v>3797.9</v>
      </c>
      <c r="F443">
        <v>0</v>
      </c>
      <c r="G443">
        <v>700002703</v>
      </c>
      <c r="H443" s="1">
        <v>45699</v>
      </c>
      <c r="I443">
        <f>YEAR(Table1[[#This Row],[Posting Date]])</f>
        <v>2024</v>
      </c>
      <c r="J443">
        <f>MONTH(Table1[[#This Row],[Posting Date]])</f>
        <v>12</v>
      </c>
      <c r="K443" t="str">
        <f>IF(Table1[[#This Row],[Type]]="IN",VLOOKUP(Table1[[#This Row],[Cust '#]],ClientInfo!$A:$D,4,0),"")</f>
        <v>NET30</v>
      </c>
      <c r="L443" s="1">
        <f>IF(K443="NET30",Table1[[#This Row],[Posting Date]]+30,IF(K443="NET15",Table1[[#This Row],[Posting Date]]+15,IF(K443="COD",Table1[[#This Row],[Posting Date]],"")))</f>
        <v>45687</v>
      </c>
      <c r="M443" s="4">
        <f>IFERROR(IF(Table1[[#This Row],[Type]]="IN",Table1[[#This Row],[RC Date]]-Table1[[#This Row],[Posting Date]],""),"")</f>
        <v>42</v>
      </c>
      <c r="N443">
        <f>IFERROR(IF(Table1[[#This Row],[Balance Due (LC)]]&lt;&gt;0,$S$1-L443,0),"")</f>
        <v>0</v>
      </c>
      <c r="O443">
        <f>IFERROR(IF(Table1[[#This Row],[Type]]="IN",Table1[[#This Row],[C/D (LC)]],IF(Table1[[#This Row],[Type]]="CN",Table1[[#This Row],[C/D (LC)]],"")),"")</f>
        <v>3797.9</v>
      </c>
      <c r="P443" t="str">
        <f>VLOOKUP(Table1[[#This Row],[Cust '#]],ClientInfo!$A:$B,2,0)</f>
        <v>Client_05</v>
      </c>
    </row>
    <row r="444" spans="1:16">
      <c r="A444" t="s">
        <v>111</v>
      </c>
      <c r="B444" t="s">
        <v>12</v>
      </c>
      <c r="C444">
        <v>140018695</v>
      </c>
      <c r="D444" s="1">
        <v>45660</v>
      </c>
      <c r="E444">
        <v>2501.3000000000002</v>
      </c>
      <c r="F444">
        <v>0</v>
      </c>
      <c r="G444">
        <v>700002703</v>
      </c>
      <c r="H444" s="1">
        <v>45699</v>
      </c>
      <c r="I444">
        <f>YEAR(Table1[[#This Row],[Posting Date]])</f>
        <v>2025</v>
      </c>
      <c r="J444">
        <f>MONTH(Table1[[#This Row],[Posting Date]])</f>
        <v>1</v>
      </c>
      <c r="K444" t="str">
        <f>IF(Table1[[#This Row],[Type]]="IN",VLOOKUP(Table1[[#This Row],[Cust '#]],ClientInfo!$A:$D,4,0),"")</f>
        <v>NET30</v>
      </c>
      <c r="L444" s="1">
        <f>IF(K444="NET30",Table1[[#This Row],[Posting Date]]+30,IF(K444="NET15",Table1[[#This Row],[Posting Date]]+15,IF(K444="COD",Table1[[#This Row],[Posting Date]],"")))</f>
        <v>45690</v>
      </c>
      <c r="M444" s="4">
        <f>IFERROR(IF(Table1[[#This Row],[Type]]="IN",Table1[[#This Row],[RC Date]]-Table1[[#This Row],[Posting Date]],""),"")</f>
        <v>39</v>
      </c>
      <c r="N444">
        <f>IFERROR(IF(Table1[[#This Row],[Balance Due (LC)]]&lt;&gt;0,$S$1-L444,0),"")</f>
        <v>0</v>
      </c>
      <c r="O444">
        <f>IFERROR(IF(Table1[[#This Row],[Type]]="IN",Table1[[#This Row],[C/D (LC)]],IF(Table1[[#This Row],[Type]]="CN",Table1[[#This Row],[C/D (LC)]],"")),"")</f>
        <v>2501.3000000000002</v>
      </c>
      <c r="P444" t="str">
        <f>VLOOKUP(Table1[[#This Row],[Cust '#]],ClientInfo!$A:$B,2,0)</f>
        <v>Client_05</v>
      </c>
    </row>
    <row r="445" spans="1:16">
      <c r="A445" t="s">
        <v>111</v>
      </c>
      <c r="B445" t="s">
        <v>12</v>
      </c>
      <c r="C445">
        <v>140019209</v>
      </c>
      <c r="D445" s="1">
        <v>45672</v>
      </c>
      <c r="E445">
        <v>9599.4</v>
      </c>
      <c r="F445">
        <v>0</v>
      </c>
      <c r="G445">
        <v>700002703</v>
      </c>
      <c r="H445" s="1">
        <v>45699</v>
      </c>
      <c r="I445">
        <f>YEAR(Table1[[#This Row],[Posting Date]])</f>
        <v>2025</v>
      </c>
      <c r="J445">
        <f>MONTH(Table1[[#This Row],[Posting Date]])</f>
        <v>1</v>
      </c>
      <c r="K445" t="str">
        <f>IF(Table1[[#This Row],[Type]]="IN",VLOOKUP(Table1[[#This Row],[Cust '#]],ClientInfo!$A:$D,4,0),"")</f>
        <v>NET30</v>
      </c>
      <c r="L445" s="1">
        <f>IF(K445="NET30",Table1[[#This Row],[Posting Date]]+30,IF(K445="NET15",Table1[[#This Row],[Posting Date]]+15,IF(K445="COD",Table1[[#This Row],[Posting Date]],"")))</f>
        <v>45702</v>
      </c>
      <c r="M445" s="4">
        <f>IFERROR(IF(Table1[[#This Row],[Type]]="IN",Table1[[#This Row],[RC Date]]-Table1[[#This Row],[Posting Date]],""),"")</f>
        <v>27</v>
      </c>
      <c r="N445">
        <f>IFERROR(IF(Table1[[#This Row],[Balance Due (LC)]]&lt;&gt;0,$S$1-L445,0),"")</f>
        <v>0</v>
      </c>
      <c r="O445">
        <f>IFERROR(IF(Table1[[#This Row],[Type]]="IN",Table1[[#This Row],[C/D (LC)]],IF(Table1[[#This Row],[Type]]="CN",Table1[[#This Row],[C/D (LC)]],"")),"")</f>
        <v>9599.4</v>
      </c>
      <c r="P445" t="str">
        <f>VLOOKUP(Table1[[#This Row],[Cust '#]],ClientInfo!$A:$B,2,0)</f>
        <v>Client_05</v>
      </c>
    </row>
    <row r="446" spans="1:16">
      <c r="A446" t="s">
        <v>111</v>
      </c>
      <c r="B446" t="s">
        <v>12</v>
      </c>
      <c r="C446">
        <v>140019541</v>
      </c>
      <c r="D446" s="1">
        <v>45679</v>
      </c>
      <c r="E446">
        <v>1776.6</v>
      </c>
      <c r="F446">
        <v>0</v>
      </c>
      <c r="G446">
        <v>700002703</v>
      </c>
      <c r="H446" s="1">
        <v>45699</v>
      </c>
      <c r="I446">
        <f>YEAR(Table1[[#This Row],[Posting Date]])</f>
        <v>2025</v>
      </c>
      <c r="J446">
        <f>MONTH(Table1[[#This Row],[Posting Date]])</f>
        <v>1</v>
      </c>
      <c r="K446" t="str">
        <f>IF(Table1[[#This Row],[Type]]="IN",VLOOKUP(Table1[[#This Row],[Cust '#]],ClientInfo!$A:$D,4,0),"")</f>
        <v>NET30</v>
      </c>
      <c r="L446" s="1">
        <f>IF(K446="NET30",Table1[[#This Row],[Posting Date]]+30,IF(K446="NET15",Table1[[#This Row],[Posting Date]]+15,IF(K446="COD",Table1[[#This Row],[Posting Date]],"")))</f>
        <v>45709</v>
      </c>
      <c r="M446" s="4">
        <f>IFERROR(IF(Table1[[#This Row],[Type]]="IN",Table1[[#This Row],[RC Date]]-Table1[[#This Row],[Posting Date]],""),"")</f>
        <v>20</v>
      </c>
      <c r="N446">
        <f>IFERROR(IF(Table1[[#This Row],[Balance Due (LC)]]&lt;&gt;0,$S$1-L446,0),"")</f>
        <v>0</v>
      </c>
      <c r="O446">
        <f>IFERROR(IF(Table1[[#This Row],[Type]]="IN",Table1[[#This Row],[C/D (LC)]],IF(Table1[[#This Row],[Type]]="CN",Table1[[#This Row],[C/D (LC)]],"")),"")</f>
        <v>1776.6</v>
      </c>
      <c r="P446" t="str">
        <f>VLOOKUP(Table1[[#This Row],[Cust '#]],ClientInfo!$A:$B,2,0)</f>
        <v>Client_05</v>
      </c>
    </row>
    <row r="447" spans="1:16">
      <c r="A447" t="s">
        <v>111</v>
      </c>
      <c r="B447" t="s">
        <v>13</v>
      </c>
      <c r="C447">
        <v>150000852</v>
      </c>
      <c r="D447" s="1">
        <v>45680</v>
      </c>
      <c r="E447">
        <v>-18</v>
      </c>
      <c r="F447">
        <v>0</v>
      </c>
      <c r="G447">
        <v>700002703</v>
      </c>
      <c r="H447" s="1">
        <v>45699</v>
      </c>
      <c r="I447">
        <f>YEAR(Table1[[#This Row],[Posting Date]])</f>
        <v>2025</v>
      </c>
      <c r="J447">
        <f>MONTH(Table1[[#This Row],[Posting Date]])</f>
        <v>1</v>
      </c>
      <c r="K447" t="str">
        <f>IF(Table1[[#This Row],[Type]]="IN",VLOOKUP(Table1[[#This Row],[Cust '#]],ClientInfo!$A:$D,4,0),"")</f>
        <v/>
      </c>
      <c r="L447" s="1" t="str">
        <f>IF(K447="NET30",Table1[[#This Row],[Posting Date]]+30,IF(K447="NET15",Table1[[#This Row],[Posting Date]]+15,IF(K447="COD",Table1[[#This Row],[Posting Date]],"")))</f>
        <v/>
      </c>
      <c r="M447" s="4" t="str">
        <f>IFERROR(IF(Table1[[#This Row],[Type]]="IN",Table1[[#This Row],[RC Date]]-Table1[[#This Row],[Posting Date]],""),"")</f>
        <v/>
      </c>
      <c r="N447">
        <f>IFERROR(IF(Table1[[#This Row],[Balance Due (LC)]]&lt;&gt;0,$S$1-L447,0),"")</f>
        <v>0</v>
      </c>
      <c r="O447">
        <f>IFERROR(IF(Table1[[#This Row],[Type]]="IN",Table1[[#This Row],[C/D (LC)]],IF(Table1[[#This Row],[Type]]="CN",Table1[[#This Row],[C/D (LC)]],"")),"")</f>
        <v>-18</v>
      </c>
      <c r="P447" t="str">
        <f>VLOOKUP(Table1[[#This Row],[Cust '#]],ClientInfo!$A:$B,2,0)</f>
        <v>Client_05</v>
      </c>
    </row>
    <row r="448" spans="1:16">
      <c r="A448" t="s">
        <v>111</v>
      </c>
      <c r="B448" t="s">
        <v>12</v>
      </c>
      <c r="C448">
        <v>140019865</v>
      </c>
      <c r="D448" s="1">
        <v>45686</v>
      </c>
      <c r="E448">
        <v>4835.8</v>
      </c>
      <c r="F448">
        <v>0</v>
      </c>
      <c r="G448">
        <v>700002703</v>
      </c>
      <c r="H448" s="1">
        <v>45699</v>
      </c>
      <c r="I448">
        <f>YEAR(Table1[[#This Row],[Posting Date]])</f>
        <v>2025</v>
      </c>
      <c r="J448">
        <f>MONTH(Table1[[#This Row],[Posting Date]])</f>
        <v>1</v>
      </c>
      <c r="K448" t="str">
        <f>IF(Table1[[#This Row],[Type]]="IN",VLOOKUP(Table1[[#This Row],[Cust '#]],ClientInfo!$A:$D,4,0),"")</f>
        <v>NET30</v>
      </c>
      <c r="L448" s="1">
        <f>IF(K448="NET30",Table1[[#This Row],[Posting Date]]+30,IF(K448="NET15",Table1[[#This Row],[Posting Date]]+15,IF(K448="COD",Table1[[#This Row],[Posting Date]],"")))</f>
        <v>45716</v>
      </c>
      <c r="M448" s="4">
        <f>IFERROR(IF(Table1[[#This Row],[Type]]="IN",Table1[[#This Row],[RC Date]]-Table1[[#This Row],[Posting Date]],""),"")</f>
        <v>13</v>
      </c>
      <c r="N448">
        <f>IFERROR(IF(Table1[[#This Row],[Balance Due (LC)]]&lt;&gt;0,$S$1-L448,0),"")</f>
        <v>0</v>
      </c>
      <c r="O448">
        <f>IFERROR(IF(Table1[[#This Row],[Type]]="IN",Table1[[#This Row],[C/D (LC)]],IF(Table1[[#This Row],[Type]]="CN",Table1[[#This Row],[C/D (LC)]],"")),"")</f>
        <v>4835.8</v>
      </c>
      <c r="P448" t="str">
        <f>VLOOKUP(Table1[[#This Row],[Cust '#]],ClientInfo!$A:$B,2,0)</f>
        <v>Client_05</v>
      </c>
    </row>
    <row r="449" spans="1:16">
      <c r="A449" t="s">
        <v>111</v>
      </c>
      <c r="B449" t="s">
        <v>13</v>
      </c>
      <c r="C449">
        <v>150000874</v>
      </c>
      <c r="D449" s="1">
        <v>45687</v>
      </c>
      <c r="E449">
        <v>-32</v>
      </c>
      <c r="F449">
        <v>0</v>
      </c>
      <c r="G449">
        <v>700002703</v>
      </c>
      <c r="H449" s="1">
        <v>45699</v>
      </c>
      <c r="I449">
        <f>YEAR(Table1[[#This Row],[Posting Date]])</f>
        <v>2025</v>
      </c>
      <c r="J449">
        <f>MONTH(Table1[[#This Row],[Posting Date]])</f>
        <v>1</v>
      </c>
      <c r="K449" t="str">
        <f>IF(Table1[[#This Row],[Type]]="IN",VLOOKUP(Table1[[#This Row],[Cust '#]],ClientInfo!$A:$D,4,0),"")</f>
        <v/>
      </c>
      <c r="L449" s="1" t="str">
        <f>IF(K449="NET30",Table1[[#This Row],[Posting Date]]+30,IF(K449="NET15",Table1[[#This Row],[Posting Date]]+15,IF(K449="COD",Table1[[#This Row],[Posting Date]],"")))</f>
        <v/>
      </c>
      <c r="M449" s="4" t="str">
        <f>IFERROR(IF(Table1[[#This Row],[Type]]="IN",Table1[[#This Row],[RC Date]]-Table1[[#This Row],[Posting Date]],""),"")</f>
        <v/>
      </c>
      <c r="N449">
        <f>IFERROR(IF(Table1[[#This Row],[Balance Due (LC)]]&lt;&gt;0,$S$1-L449,0),"")</f>
        <v>0</v>
      </c>
      <c r="O449">
        <f>IFERROR(IF(Table1[[#This Row],[Type]]="IN",Table1[[#This Row],[C/D (LC)]],IF(Table1[[#This Row],[Type]]="CN",Table1[[#This Row],[C/D (LC)]],"")),"")</f>
        <v>-32</v>
      </c>
      <c r="P449" t="str">
        <f>VLOOKUP(Table1[[#This Row],[Cust '#]],ClientInfo!$A:$B,2,0)</f>
        <v>Client_05</v>
      </c>
    </row>
    <row r="450" spans="1:16">
      <c r="A450" t="s">
        <v>111</v>
      </c>
      <c r="B450" t="s">
        <v>12</v>
      </c>
      <c r="C450">
        <v>140020178</v>
      </c>
      <c r="D450" s="1">
        <v>45693</v>
      </c>
      <c r="E450">
        <v>4280.3999999999996</v>
      </c>
      <c r="F450">
        <v>0</v>
      </c>
      <c r="G450">
        <v>700003070</v>
      </c>
      <c r="H450" s="1">
        <v>45743</v>
      </c>
      <c r="I450">
        <f>YEAR(Table1[[#This Row],[Posting Date]])</f>
        <v>2025</v>
      </c>
      <c r="J450">
        <f>MONTH(Table1[[#This Row],[Posting Date]])</f>
        <v>2</v>
      </c>
      <c r="K450" t="str">
        <f>IF(Table1[[#This Row],[Type]]="IN",VLOOKUP(Table1[[#This Row],[Cust '#]],ClientInfo!$A:$D,4,0),"")</f>
        <v>NET30</v>
      </c>
      <c r="L450" s="1">
        <f>IF(K450="NET30",Table1[[#This Row],[Posting Date]]+30,IF(K450="NET15",Table1[[#This Row],[Posting Date]]+15,IF(K450="COD",Table1[[#This Row],[Posting Date]],"")))</f>
        <v>45723</v>
      </c>
      <c r="M450" s="4">
        <f>IFERROR(IF(Table1[[#This Row],[Type]]="IN",Table1[[#This Row],[RC Date]]-Table1[[#This Row],[Posting Date]],""),"")</f>
        <v>50</v>
      </c>
      <c r="N450">
        <f>IFERROR(IF(Table1[[#This Row],[Balance Due (LC)]]&lt;&gt;0,$S$1-L450,0),"")</f>
        <v>0</v>
      </c>
      <c r="O450">
        <f>IFERROR(IF(Table1[[#This Row],[Type]]="IN",Table1[[#This Row],[C/D (LC)]],IF(Table1[[#This Row],[Type]]="CN",Table1[[#This Row],[C/D (LC)]],"")),"")</f>
        <v>4280.3999999999996</v>
      </c>
      <c r="P450" t="str">
        <f>VLOOKUP(Table1[[#This Row],[Cust '#]],ClientInfo!$A:$B,2,0)</f>
        <v>Client_05</v>
      </c>
    </row>
    <row r="451" spans="1:16">
      <c r="A451" t="s">
        <v>111</v>
      </c>
      <c r="B451" t="s">
        <v>13</v>
      </c>
      <c r="C451">
        <v>150000891</v>
      </c>
      <c r="D451" s="1">
        <v>45694</v>
      </c>
      <c r="E451">
        <v>-27</v>
      </c>
      <c r="F451">
        <v>0</v>
      </c>
      <c r="G451">
        <v>700003070</v>
      </c>
      <c r="H451" s="1">
        <v>45743</v>
      </c>
      <c r="I451">
        <f>YEAR(Table1[[#This Row],[Posting Date]])</f>
        <v>2025</v>
      </c>
      <c r="J451">
        <f>MONTH(Table1[[#This Row],[Posting Date]])</f>
        <v>2</v>
      </c>
      <c r="K451" t="str">
        <f>IF(Table1[[#This Row],[Type]]="IN",VLOOKUP(Table1[[#This Row],[Cust '#]],ClientInfo!$A:$D,4,0),"")</f>
        <v/>
      </c>
      <c r="L451" s="1" t="str">
        <f>IF(K451="NET30",Table1[[#This Row],[Posting Date]]+30,IF(K451="NET15",Table1[[#This Row],[Posting Date]]+15,IF(K451="COD",Table1[[#This Row],[Posting Date]],"")))</f>
        <v/>
      </c>
      <c r="M451" s="4" t="str">
        <f>IFERROR(IF(Table1[[#This Row],[Type]]="IN",Table1[[#This Row],[RC Date]]-Table1[[#This Row],[Posting Date]],""),"")</f>
        <v/>
      </c>
      <c r="N451">
        <f>IFERROR(IF(Table1[[#This Row],[Balance Due (LC)]]&lt;&gt;0,$S$1-L451,0),"")</f>
        <v>0</v>
      </c>
      <c r="O451">
        <f>IFERROR(IF(Table1[[#This Row],[Type]]="IN",Table1[[#This Row],[C/D (LC)]],IF(Table1[[#This Row],[Type]]="CN",Table1[[#This Row],[C/D (LC)]],"")),"")</f>
        <v>-27</v>
      </c>
      <c r="P451" t="str">
        <f>VLOOKUP(Table1[[#This Row],[Cust '#]],ClientInfo!$A:$B,2,0)</f>
        <v>Client_05</v>
      </c>
    </row>
    <row r="452" spans="1:16">
      <c r="A452" t="s">
        <v>111</v>
      </c>
      <c r="B452" t="s">
        <v>13</v>
      </c>
      <c r="C452">
        <v>150000914</v>
      </c>
      <c r="D452" s="1">
        <v>45695</v>
      </c>
      <c r="E452">
        <v>-179.8</v>
      </c>
      <c r="F452">
        <v>0</v>
      </c>
      <c r="G452">
        <v>700003070</v>
      </c>
      <c r="H452" s="1">
        <v>45743</v>
      </c>
      <c r="I452">
        <f>YEAR(Table1[[#This Row],[Posting Date]])</f>
        <v>2025</v>
      </c>
      <c r="J452">
        <f>MONTH(Table1[[#This Row],[Posting Date]])</f>
        <v>2</v>
      </c>
      <c r="K452" t="str">
        <f>IF(Table1[[#This Row],[Type]]="IN",VLOOKUP(Table1[[#This Row],[Cust '#]],ClientInfo!$A:$D,4,0),"")</f>
        <v/>
      </c>
      <c r="L452" s="1" t="str">
        <f>IF(K452="NET30",Table1[[#This Row],[Posting Date]]+30,IF(K452="NET15",Table1[[#This Row],[Posting Date]]+15,IF(K452="COD",Table1[[#This Row],[Posting Date]],"")))</f>
        <v/>
      </c>
      <c r="M452" s="4" t="str">
        <f>IFERROR(IF(Table1[[#This Row],[Type]]="IN",Table1[[#This Row],[RC Date]]-Table1[[#This Row],[Posting Date]],""),"")</f>
        <v/>
      </c>
      <c r="N452">
        <f>IFERROR(IF(Table1[[#This Row],[Balance Due (LC)]]&lt;&gt;0,$S$1-L452,0),"")</f>
        <v>0</v>
      </c>
      <c r="O452">
        <f>IFERROR(IF(Table1[[#This Row],[Type]]="IN",Table1[[#This Row],[C/D (LC)]],IF(Table1[[#This Row],[Type]]="CN",Table1[[#This Row],[C/D (LC)]],"")),"")</f>
        <v>-179.8</v>
      </c>
      <c r="P452" t="str">
        <f>VLOOKUP(Table1[[#This Row],[Cust '#]],ClientInfo!$A:$B,2,0)</f>
        <v>Client_05</v>
      </c>
    </row>
    <row r="453" spans="1:16">
      <c r="A453" t="s">
        <v>111</v>
      </c>
      <c r="B453" t="s">
        <v>10</v>
      </c>
      <c r="C453">
        <v>700002703</v>
      </c>
      <c r="D453" s="1">
        <v>45699</v>
      </c>
      <c r="E453">
        <v>-37103.14</v>
      </c>
      <c r="F453">
        <v>0</v>
      </c>
      <c r="G453">
        <v>700002703</v>
      </c>
      <c r="H453" s="1">
        <v>45699</v>
      </c>
      <c r="I453">
        <f>YEAR(Table1[[#This Row],[Posting Date]])</f>
        <v>2025</v>
      </c>
      <c r="J453">
        <f>MONTH(Table1[[#This Row],[Posting Date]])</f>
        <v>2</v>
      </c>
      <c r="K453" t="str">
        <f>IF(Table1[[#This Row],[Type]]="IN",VLOOKUP(Table1[[#This Row],[Cust '#]],ClientInfo!$A:$D,4,0),"")</f>
        <v/>
      </c>
      <c r="L453" s="1" t="str">
        <f>IF(K453="NET30",Table1[[#This Row],[Posting Date]]+30,IF(K453="NET15",Table1[[#This Row],[Posting Date]]+15,IF(K453="COD",Table1[[#This Row],[Posting Date]],"")))</f>
        <v/>
      </c>
      <c r="M453" s="4" t="str">
        <f>IFERROR(IF(Table1[[#This Row],[Type]]="IN",Table1[[#This Row],[RC Date]]-Table1[[#This Row],[Posting Date]],""),"")</f>
        <v/>
      </c>
      <c r="N453">
        <f>IFERROR(IF(Table1[[#This Row],[Balance Due (LC)]]&lt;&gt;0,$S$1-L453,0),"")</f>
        <v>0</v>
      </c>
      <c r="O453" t="str">
        <f>IFERROR(IF(Table1[[#This Row],[Type]]="IN",Table1[[#This Row],[C/D (LC)]],IF(Table1[[#This Row],[Type]]="CN",Table1[[#This Row],[C/D (LC)]],"")),"")</f>
        <v/>
      </c>
      <c r="P453" t="str">
        <f>VLOOKUP(Table1[[#This Row],[Cust '#]],ClientInfo!$A:$B,2,0)</f>
        <v>Client_05</v>
      </c>
    </row>
    <row r="454" spans="1:16">
      <c r="A454" t="s">
        <v>111</v>
      </c>
      <c r="B454" t="s">
        <v>12</v>
      </c>
      <c r="C454">
        <v>140020839</v>
      </c>
      <c r="D454" s="1">
        <v>45707</v>
      </c>
      <c r="E454">
        <v>5554.05</v>
      </c>
      <c r="F454">
        <v>0</v>
      </c>
      <c r="G454">
        <v>700003070</v>
      </c>
      <c r="H454" s="1">
        <v>45743</v>
      </c>
      <c r="I454">
        <f>YEAR(Table1[[#This Row],[Posting Date]])</f>
        <v>2025</v>
      </c>
      <c r="J454">
        <f>MONTH(Table1[[#This Row],[Posting Date]])</f>
        <v>2</v>
      </c>
      <c r="K454" t="str">
        <f>IF(Table1[[#This Row],[Type]]="IN",VLOOKUP(Table1[[#This Row],[Cust '#]],ClientInfo!$A:$D,4,0),"")</f>
        <v>NET30</v>
      </c>
      <c r="L454" s="1">
        <f>IF(K454="NET30",Table1[[#This Row],[Posting Date]]+30,IF(K454="NET15",Table1[[#This Row],[Posting Date]]+15,IF(K454="COD",Table1[[#This Row],[Posting Date]],"")))</f>
        <v>45737</v>
      </c>
      <c r="M454" s="4">
        <f>IFERROR(IF(Table1[[#This Row],[Type]]="IN",Table1[[#This Row],[RC Date]]-Table1[[#This Row],[Posting Date]],""),"")</f>
        <v>36</v>
      </c>
      <c r="N454">
        <f>IFERROR(IF(Table1[[#This Row],[Balance Due (LC)]]&lt;&gt;0,$S$1-L454,0),"")</f>
        <v>0</v>
      </c>
      <c r="O454">
        <f>IFERROR(IF(Table1[[#This Row],[Type]]="IN",Table1[[#This Row],[C/D (LC)]],IF(Table1[[#This Row],[Type]]="CN",Table1[[#This Row],[C/D (LC)]],"")),"")</f>
        <v>5554.05</v>
      </c>
      <c r="P454" t="str">
        <f>VLOOKUP(Table1[[#This Row],[Cust '#]],ClientInfo!$A:$B,2,0)</f>
        <v>Client_05</v>
      </c>
    </row>
    <row r="455" spans="1:16">
      <c r="A455" t="s">
        <v>111</v>
      </c>
      <c r="B455" t="s">
        <v>12</v>
      </c>
      <c r="C455">
        <v>140021158</v>
      </c>
      <c r="D455" s="1">
        <v>45714</v>
      </c>
      <c r="E455">
        <v>4512.3</v>
      </c>
      <c r="F455">
        <v>0</v>
      </c>
      <c r="G455">
        <v>700003070</v>
      </c>
      <c r="H455" s="1">
        <v>45743</v>
      </c>
      <c r="I455">
        <f>YEAR(Table1[[#This Row],[Posting Date]])</f>
        <v>2025</v>
      </c>
      <c r="J455">
        <f>MONTH(Table1[[#This Row],[Posting Date]])</f>
        <v>2</v>
      </c>
      <c r="K455" t="str">
        <f>IF(Table1[[#This Row],[Type]]="IN",VLOOKUP(Table1[[#This Row],[Cust '#]],ClientInfo!$A:$D,4,0),"")</f>
        <v>NET30</v>
      </c>
      <c r="L455" s="1">
        <f>IF(K455="NET30",Table1[[#This Row],[Posting Date]]+30,IF(K455="NET15",Table1[[#This Row],[Posting Date]]+15,IF(K455="COD",Table1[[#This Row],[Posting Date]],"")))</f>
        <v>45744</v>
      </c>
      <c r="M455" s="4">
        <f>IFERROR(IF(Table1[[#This Row],[Type]]="IN",Table1[[#This Row],[RC Date]]-Table1[[#This Row],[Posting Date]],""),"")</f>
        <v>29</v>
      </c>
      <c r="N455">
        <f>IFERROR(IF(Table1[[#This Row],[Balance Due (LC)]]&lt;&gt;0,$S$1-L455,0),"")</f>
        <v>0</v>
      </c>
      <c r="O455">
        <f>IFERROR(IF(Table1[[#This Row],[Type]]="IN",Table1[[#This Row],[C/D (LC)]],IF(Table1[[#This Row],[Type]]="CN",Table1[[#This Row],[C/D (LC)]],"")),"")</f>
        <v>4512.3</v>
      </c>
      <c r="P455" t="str">
        <f>VLOOKUP(Table1[[#This Row],[Cust '#]],ClientInfo!$A:$B,2,0)</f>
        <v>Client_05</v>
      </c>
    </row>
    <row r="456" spans="1:16">
      <c r="A456" t="s">
        <v>111</v>
      </c>
      <c r="B456" t="s">
        <v>12</v>
      </c>
      <c r="C456">
        <v>140021452</v>
      </c>
      <c r="D456" s="1">
        <v>45721</v>
      </c>
      <c r="E456">
        <v>2985.4</v>
      </c>
      <c r="F456">
        <v>0</v>
      </c>
      <c r="G456">
        <v>700003070</v>
      </c>
      <c r="H456" s="1">
        <v>45743</v>
      </c>
      <c r="I456">
        <f>YEAR(Table1[[#This Row],[Posting Date]])</f>
        <v>2025</v>
      </c>
      <c r="J456">
        <f>MONTH(Table1[[#This Row],[Posting Date]])</f>
        <v>3</v>
      </c>
      <c r="K456" t="str">
        <f>IF(Table1[[#This Row],[Type]]="IN",VLOOKUP(Table1[[#This Row],[Cust '#]],ClientInfo!$A:$D,4,0),"")</f>
        <v>NET30</v>
      </c>
      <c r="L456" s="1">
        <f>IF(K456="NET30",Table1[[#This Row],[Posting Date]]+30,IF(K456="NET15",Table1[[#This Row],[Posting Date]]+15,IF(K456="COD",Table1[[#This Row],[Posting Date]],"")))</f>
        <v>45751</v>
      </c>
      <c r="M456" s="4">
        <f>IFERROR(IF(Table1[[#This Row],[Type]]="IN",Table1[[#This Row],[RC Date]]-Table1[[#This Row],[Posting Date]],""),"")</f>
        <v>22</v>
      </c>
      <c r="N456">
        <f>IFERROR(IF(Table1[[#This Row],[Balance Due (LC)]]&lt;&gt;0,$S$1-L456,0),"")</f>
        <v>0</v>
      </c>
      <c r="O456">
        <f>IFERROR(IF(Table1[[#This Row],[Type]]="IN",Table1[[#This Row],[C/D (LC)]],IF(Table1[[#This Row],[Type]]="CN",Table1[[#This Row],[C/D (LC)]],"")),"")</f>
        <v>2985.4</v>
      </c>
      <c r="P456" t="str">
        <f>VLOOKUP(Table1[[#This Row],[Cust '#]],ClientInfo!$A:$B,2,0)</f>
        <v>Client_05</v>
      </c>
    </row>
    <row r="457" spans="1:16">
      <c r="A457" t="s">
        <v>111</v>
      </c>
      <c r="B457" t="s">
        <v>12</v>
      </c>
      <c r="C457">
        <v>140021471</v>
      </c>
      <c r="D457" s="1">
        <v>45721</v>
      </c>
      <c r="E457">
        <v>151.19999999999999</v>
      </c>
      <c r="F457">
        <v>0</v>
      </c>
      <c r="G457">
        <v>700003070</v>
      </c>
      <c r="H457" s="1">
        <v>45743</v>
      </c>
      <c r="I457">
        <f>YEAR(Table1[[#This Row],[Posting Date]])</f>
        <v>2025</v>
      </c>
      <c r="J457">
        <f>MONTH(Table1[[#This Row],[Posting Date]])</f>
        <v>3</v>
      </c>
      <c r="K457" t="str">
        <f>IF(Table1[[#This Row],[Type]]="IN",VLOOKUP(Table1[[#This Row],[Cust '#]],ClientInfo!$A:$D,4,0),"")</f>
        <v>NET30</v>
      </c>
      <c r="L457" s="1">
        <f>IF(K457="NET30",Table1[[#This Row],[Posting Date]]+30,IF(K457="NET15",Table1[[#This Row],[Posting Date]]+15,IF(K457="COD",Table1[[#This Row],[Posting Date]],"")))</f>
        <v>45751</v>
      </c>
      <c r="M457" s="4">
        <f>IFERROR(IF(Table1[[#This Row],[Type]]="IN",Table1[[#This Row],[RC Date]]-Table1[[#This Row],[Posting Date]],""),"")</f>
        <v>22</v>
      </c>
      <c r="N457">
        <f>IFERROR(IF(Table1[[#This Row],[Balance Due (LC)]]&lt;&gt;0,$S$1-L457,0),"")</f>
        <v>0</v>
      </c>
      <c r="O457">
        <f>IFERROR(IF(Table1[[#This Row],[Type]]="IN",Table1[[#This Row],[C/D (LC)]],IF(Table1[[#This Row],[Type]]="CN",Table1[[#This Row],[C/D (LC)]],"")),"")</f>
        <v>151.19999999999999</v>
      </c>
      <c r="P457" t="str">
        <f>VLOOKUP(Table1[[#This Row],[Cust '#]],ClientInfo!$A:$B,2,0)</f>
        <v>Client_05</v>
      </c>
    </row>
    <row r="458" spans="1:16">
      <c r="A458" t="s">
        <v>111</v>
      </c>
      <c r="B458" t="s">
        <v>13</v>
      </c>
      <c r="C458">
        <v>150000980</v>
      </c>
      <c r="D458" s="1">
        <v>45726</v>
      </c>
      <c r="E458">
        <v>-93</v>
      </c>
      <c r="F458">
        <v>0</v>
      </c>
      <c r="G458">
        <v>700003070</v>
      </c>
      <c r="H458" s="1">
        <v>45743</v>
      </c>
      <c r="I458">
        <f>YEAR(Table1[[#This Row],[Posting Date]])</f>
        <v>2025</v>
      </c>
      <c r="J458">
        <f>MONTH(Table1[[#This Row],[Posting Date]])</f>
        <v>3</v>
      </c>
      <c r="K458" t="str">
        <f>IF(Table1[[#This Row],[Type]]="IN",VLOOKUP(Table1[[#This Row],[Cust '#]],ClientInfo!$A:$D,4,0),"")</f>
        <v/>
      </c>
      <c r="L458" s="1" t="str">
        <f>IF(K458="NET30",Table1[[#This Row],[Posting Date]]+30,IF(K458="NET15",Table1[[#This Row],[Posting Date]]+15,IF(K458="COD",Table1[[#This Row],[Posting Date]],"")))</f>
        <v/>
      </c>
      <c r="M458" s="4" t="str">
        <f>IFERROR(IF(Table1[[#This Row],[Type]]="IN",Table1[[#This Row],[RC Date]]-Table1[[#This Row],[Posting Date]],""),"")</f>
        <v/>
      </c>
      <c r="N458">
        <f>IFERROR(IF(Table1[[#This Row],[Balance Due (LC)]]&lt;&gt;0,$S$1-L458,0),"")</f>
        <v>0</v>
      </c>
      <c r="O458">
        <f>IFERROR(IF(Table1[[#This Row],[Type]]="IN",Table1[[#This Row],[C/D (LC)]],IF(Table1[[#This Row],[Type]]="CN",Table1[[#This Row],[C/D (LC)]],"")),"")</f>
        <v>-93</v>
      </c>
      <c r="P458" t="str">
        <f>VLOOKUP(Table1[[#This Row],[Cust '#]],ClientInfo!$A:$B,2,0)</f>
        <v>Client_05</v>
      </c>
    </row>
    <row r="459" spans="1:16">
      <c r="A459" t="s">
        <v>111</v>
      </c>
      <c r="B459" t="s">
        <v>12</v>
      </c>
      <c r="C459">
        <v>140021765</v>
      </c>
      <c r="D459" s="1">
        <v>45728</v>
      </c>
      <c r="E459">
        <v>4927.7</v>
      </c>
      <c r="F459">
        <v>0</v>
      </c>
      <c r="G459">
        <v>700003070</v>
      </c>
      <c r="H459" s="1">
        <v>45743</v>
      </c>
      <c r="I459">
        <f>YEAR(Table1[[#This Row],[Posting Date]])</f>
        <v>2025</v>
      </c>
      <c r="J459">
        <f>MONTH(Table1[[#This Row],[Posting Date]])</f>
        <v>3</v>
      </c>
      <c r="K459" t="str">
        <f>IF(Table1[[#This Row],[Type]]="IN",VLOOKUP(Table1[[#This Row],[Cust '#]],ClientInfo!$A:$D,4,0),"")</f>
        <v>NET30</v>
      </c>
      <c r="L459" s="1">
        <f>IF(K459="NET30",Table1[[#This Row],[Posting Date]]+30,IF(K459="NET15",Table1[[#This Row],[Posting Date]]+15,IF(K459="COD",Table1[[#This Row],[Posting Date]],"")))</f>
        <v>45758</v>
      </c>
      <c r="M459" s="4">
        <f>IFERROR(IF(Table1[[#This Row],[Type]]="IN",Table1[[#This Row],[RC Date]]-Table1[[#This Row],[Posting Date]],""),"")</f>
        <v>15</v>
      </c>
      <c r="N459">
        <f>IFERROR(IF(Table1[[#This Row],[Balance Due (LC)]]&lt;&gt;0,$S$1-L459,0),"")</f>
        <v>0</v>
      </c>
      <c r="O459">
        <f>IFERROR(IF(Table1[[#This Row],[Type]]="IN",Table1[[#This Row],[C/D (LC)]],IF(Table1[[#This Row],[Type]]="CN",Table1[[#This Row],[C/D (LC)]],"")),"")</f>
        <v>4927.7</v>
      </c>
      <c r="P459" t="str">
        <f>VLOOKUP(Table1[[#This Row],[Cust '#]],ClientInfo!$A:$B,2,0)</f>
        <v>Client_05</v>
      </c>
    </row>
    <row r="460" spans="1:16">
      <c r="A460" t="s">
        <v>111</v>
      </c>
      <c r="B460" t="s">
        <v>12</v>
      </c>
      <c r="C460">
        <v>140022077</v>
      </c>
      <c r="D460" s="1">
        <v>45735</v>
      </c>
      <c r="E460">
        <v>5769</v>
      </c>
      <c r="F460">
        <v>0</v>
      </c>
      <c r="G460">
        <v>700003440</v>
      </c>
      <c r="H460" s="1">
        <v>45791</v>
      </c>
      <c r="I460">
        <f>YEAR(Table1[[#This Row],[Posting Date]])</f>
        <v>2025</v>
      </c>
      <c r="J460">
        <f>MONTH(Table1[[#This Row],[Posting Date]])</f>
        <v>3</v>
      </c>
      <c r="K460" t="str">
        <f>IF(Table1[[#This Row],[Type]]="IN",VLOOKUP(Table1[[#This Row],[Cust '#]],ClientInfo!$A:$D,4,0),"")</f>
        <v>NET30</v>
      </c>
      <c r="L460" s="1">
        <f>IF(K460="NET30",Table1[[#This Row],[Posting Date]]+30,IF(K460="NET15",Table1[[#This Row],[Posting Date]]+15,IF(K460="COD",Table1[[#This Row],[Posting Date]],"")))</f>
        <v>45765</v>
      </c>
      <c r="M460" s="4">
        <f>IFERROR(IF(Table1[[#This Row],[Type]]="IN",Table1[[#This Row],[RC Date]]-Table1[[#This Row],[Posting Date]],""),"")</f>
        <v>56</v>
      </c>
      <c r="N460">
        <f>IFERROR(IF(Table1[[#This Row],[Balance Due (LC)]]&lt;&gt;0,$S$1-L460,0),"")</f>
        <v>0</v>
      </c>
      <c r="O460">
        <f>IFERROR(IF(Table1[[#This Row],[Type]]="IN",Table1[[#This Row],[C/D (LC)]],IF(Table1[[#This Row],[Type]]="CN",Table1[[#This Row],[C/D (LC)]],"")),"")</f>
        <v>5769</v>
      </c>
      <c r="P460" t="str">
        <f>VLOOKUP(Table1[[#This Row],[Cust '#]],ClientInfo!$A:$B,2,0)</f>
        <v>Client_05</v>
      </c>
    </row>
    <row r="461" spans="1:16">
      <c r="A461" t="s">
        <v>111</v>
      </c>
      <c r="B461" t="s">
        <v>13</v>
      </c>
      <c r="C461">
        <v>150001016</v>
      </c>
      <c r="D461" s="1">
        <v>45736</v>
      </c>
      <c r="E461">
        <v>-13.68</v>
      </c>
      <c r="F461">
        <v>0</v>
      </c>
      <c r="G461">
        <v>700003070</v>
      </c>
      <c r="H461" s="1">
        <v>45743</v>
      </c>
      <c r="I461">
        <f>YEAR(Table1[[#This Row],[Posting Date]])</f>
        <v>2025</v>
      </c>
      <c r="J461">
        <f>MONTH(Table1[[#This Row],[Posting Date]])</f>
        <v>3</v>
      </c>
      <c r="K461" t="str">
        <f>IF(Table1[[#This Row],[Type]]="IN",VLOOKUP(Table1[[#This Row],[Cust '#]],ClientInfo!$A:$D,4,0),"")</f>
        <v/>
      </c>
      <c r="L461" s="1" t="str">
        <f>IF(K461="NET30",Table1[[#This Row],[Posting Date]]+30,IF(K461="NET15",Table1[[#This Row],[Posting Date]]+15,IF(K461="COD",Table1[[#This Row],[Posting Date]],"")))</f>
        <v/>
      </c>
      <c r="M461" s="4" t="str">
        <f>IFERROR(IF(Table1[[#This Row],[Type]]="IN",Table1[[#This Row],[RC Date]]-Table1[[#This Row],[Posting Date]],""),"")</f>
        <v/>
      </c>
      <c r="N461">
        <f>IFERROR(IF(Table1[[#This Row],[Balance Due (LC)]]&lt;&gt;0,$S$1-L461,0),"")</f>
        <v>0</v>
      </c>
      <c r="O461">
        <f>IFERROR(IF(Table1[[#This Row],[Type]]="IN",Table1[[#This Row],[C/D (LC)]],IF(Table1[[#This Row],[Type]]="CN",Table1[[#This Row],[C/D (LC)]],"")),"")</f>
        <v>-13.68</v>
      </c>
      <c r="P461" t="str">
        <f>VLOOKUP(Table1[[#This Row],[Cust '#]],ClientInfo!$A:$B,2,0)</f>
        <v>Client_05</v>
      </c>
    </row>
    <row r="462" spans="1:16">
      <c r="A462" t="s">
        <v>111</v>
      </c>
      <c r="B462" t="s">
        <v>12</v>
      </c>
      <c r="C462">
        <v>140022359</v>
      </c>
      <c r="D462" s="1">
        <v>45742</v>
      </c>
      <c r="E462">
        <v>2742.2</v>
      </c>
      <c r="F462">
        <v>0</v>
      </c>
      <c r="G462">
        <v>700003440</v>
      </c>
      <c r="H462" s="1">
        <v>45791</v>
      </c>
      <c r="I462">
        <f>YEAR(Table1[[#This Row],[Posting Date]])</f>
        <v>2025</v>
      </c>
      <c r="J462">
        <f>MONTH(Table1[[#This Row],[Posting Date]])</f>
        <v>3</v>
      </c>
      <c r="K462" t="str">
        <f>IF(Table1[[#This Row],[Type]]="IN",VLOOKUP(Table1[[#This Row],[Cust '#]],ClientInfo!$A:$D,4,0),"")</f>
        <v>NET30</v>
      </c>
      <c r="L462" s="1">
        <f>IF(K462="NET30",Table1[[#This Row],[Posting Date]]+30,IF(K462="NET15",Table1[[#This Row],[Posting Date]]+15,IF(K462="COD",Table1[[#This Row],[Posting Date]],"")))</f>
        <v>45772</v>
      </c>
      <c r="M462" s="4">
        <f>IFERROR(IF(Table1[[#This Row],[Type]]="IN",Table1[[#This Row],[RC Date]]-Table1[[#This Row],[Posting Date]],""),"")</f>
        <v>49</v>
      </c>
      <c r="N462">
        <f>IFERROR(IF(Table1[[#This Row],[Balance Due (LC)]]&lt;&gt;0,$S$1-L462,0),"")</f>
        <v>0</v>
      </c>
      <c r="O462">
        <f>IFERROR(IF(Table1[[#This Row],[Type]]="IN",Table1[[#This Row],[C/D (LC)]],IF(Table1[[#This Row],[Type]]="CN",Table1[[#This Row],[C/D (LC)]],"")),"")</f>
        <v>2742.2</v>
      </c>
      <c r="P462" t="str">
        <f>VLOOKUP(Table1[[#This Row],[Cust '#]],ClientInfo!$A:$B,2,0)</f>
        <v>Client_05</v>
      </c>
    </row>
    <row r="463" spans="1:16">
      <c r="A463" t="s">
        <v>111</v>
      </c>
      <c r="B463" t="s">
        <v>13</v>
      </c>
      <c r="C463">
        <v>150001027</v>
      </c>
      <c r="D463" s="1">
        <v>45742</v>
      </c>
      <c r="E463">
        <v>-26.4</v>
      </c>
      <c r="F463">
        <v>0</v>
      </c>
      <c r="G463">
        <v>700003440</v>
      </c>
      <c r="H463" s="1">
        <v>45791</v>
      </c>
      <c r="I463">
        <f>YEAR(Table1[[#This Row],[Posting Date]])</f>
        <v>2025</v>
      </c>
      <c r="J463">
        <f>MONTH(Table1[[#This Row],[Posting Date]])</f>
        <v>3</v>
      </c>
      <c r="K463" t="str">
        <f>IF(Table1[[#This Row],[Type]]="IN",VLOOKUP(Table1[[#This Row],[Cust '#]],ClientInfo!$A:$D,4,0),"")</f>
        <v/>
      </c>
      <c r="L463" s="1" t="str">
        <f>IF(K463="NET30",Table1[[#This Row],[Posting Date]]+30,IF(K463="NET15",Table1[[#This Row],[Posting Date]]+15,IF(K463="COD",Table1[[#This Row],[Posting Date]],"")))</f>
        <v/>
      </c>
      <c r="M463" s="4" t="str">
        <f>IFERROR(IF(Table1[[#This Row],[Type]]="IN",Table1[[#This Row],[RC Date]]-Table1[[#This Row],[Posting Date]],""),"")</f>
        <v/>
      </c>
      <c r="N463">
        <f>IFERROR(IF(Table1[[#This Row],[Balance Due (LC)]]&lt;&gt;0,$S$1-L463,0),"")</f>
        <v>0</v>
      </c>
      <c r="O463">
        <f>IFERROR(IF(Table1[[#This Row],[Type]]="IN",Table1[[#This Row],[C/D (LC)]],IF(Table1[[#This Row],[Type]]="CN",Table1[[#This Row],[C/D (LC)]],"")),"")</f>
        <v>-26.4</v>
      </c>
      <c r="P463" t="str">
        <f>VLOOKUP(Table1[[#This Row],[Cust '#]],ClientInfo!$A:$B,2,0)</f>
        <v>Client_05</v>
      </c>
    </row>
    <row r="464" spans="1:16">
      <c r="A464" t="s">
        <v>111</v>
      </c>
      <c r="B464" t="s">
        <v>10</v>
      </c>
      <c r="C464">
        <v>700003070</v>
      </c>
      <c r="D464" s="1">
        <v>45743</v>
      </c>
      <c r="E464">
        <v>-22283.57</v>
      </c>
      <c r="F464">
        <v>0</v>
      </c>
      <c r="G464">
        <v>700003070</v>
      </c>
      <c r="H464" s="1">
        <v>45743</v>
      </c>
      <c r="I464">
        <f>YEAR(Table1[[#This Row],[Posting Date]])</f>
        <v>2025</v>
      </c>
      <c r="J464">
        <f>MONTH(Table1[[#This Row],[Posting Date]])</f>
        <v>3</v>
      </c>
      <c r="K464" t="str">
        <f>IF(Table1[[#This Row],[Type]]="IN",VLOOKUP(Table1[[#This Row],[Cust '#]],ClientInfo!$A:$D,4,0),"")</f>
        <v/>
      </c>
      <c r="L464" s="1" t="str">
        <f>IF(K464="NET30",Table1[[#This Row],[Posting Date]]+30,IF(K464="NET15",Table1[[#This Row],[Posting Date]]+15,IF(K464="COD",Table1[[#This Row],[Posting Date]],"")))</f>
        <v/>
      </c>
      <c r="M464" s="4" t="str">
        <f>IFERROR(IF(Table1[[#This Row],[Type]]="IN",Table1[[#This Row],[RC Date]]-Table1[[#This Row],[Posting Date]],""),"")</f>
        <v/>
      </c>
      <c r="N464">
        <f>IFERROR(IF(Table1[[#This Row],[Balance Due (LC)]]&lt;&gt;0,$S$1-L464,0),"")</f>
        <v>0</v>
      </c>
      <c r="O464" t="str">
        <f>IFERROR(IF(Table1[[#This Row],[Type]]="IN",Table1[[#This Row],[C/D (LC)]],IF(Table1[[#This Row],[Type]]="CN",Table1[[#This Row],[C/D (LC)]],"")),"")</f>
        <v/>
      </c>
      <c r="P464" t="str">
        <f>VLOOKUP(Table1[[#This Row],[Cust '#]],ClientInfo!$A:$B,2,0)</f>
        <v>Client_05</v>
      </c>
    </row>
    <row r="465" spans="1:16">
      <c r="A465" t="s">
        <v>111</v>
      </c>
      <c r="B465" t="s">
        <v>12</v>
      </c>
      <c r="C465">
        <v>140022697</v>
      </c>
      <c r="D465" s="1">
        <v>45749</v>
      </c>
      <c r="E465">
        <v>4483.8</v>
      </c>
      <c r="F465">
        <v>0</v>
      </c>
      <c r="G465">
        <v>700003440</v>
      </c>
      <c r="H465" s="1">
        <v>45791</v>
      </c>
      <c r="I465">
        <f>YEAR(Table1[[#This Row],[Posting Date]])</f>
        <v>2025</v>
      </c>
      <c r="J465">
        <f>MONTH(Table1[[#This Row],[Posting Date]])</f>
        <v>4</v>
      </c>
      <c r="K465" t="str">
        <f>IF(Table1[[#This Row],[Type]]="IN",VLOOKUP(Table1[[#This Row],[Cust '#]],ClientInfo!$A:$D,4,0),"")</f>
        <v>NET30</v>
      </c>
      <c r="L465" s="1">
        <f>IF(K465="NET30",Table1[[#This Row],[Posting Date]]+30,IF(K465="NET15",Table1[[#This Row],[Posting Date]]+15,IF(K465="COD",Table1[[#This Row],[Posting Date]],"")))</f>
        <v>45779</v>
      </c>
      <c r="M465" s="4">
        <f>IFERROR(IF(Table1[[#This Row],[Type]]="IN",Table1[[#This Row],[RC Date]]-Table1[[#This Row],[Posting Date]],""),"")</f>
        <v>42</v>
      </c>
      <c r="N465">
        <f>IFERROR(IF(Table1[[#This Row],[Balance Due (LC)]]&lt;&gt;0,$S$1-L465,0),"")</f>
        <v>0</v>
      </c>
      <c r="O465">
        <f>IFERROR(IF(Table1[[#This Row],[Type]]="IN",Table1[[#This Row],[C/D (LC)]],IF(Table1[[#This Row],[Type]]="CN",Table1[[#This Row],[C/D (LC)]],"")),"")</f>
        <v>4483.8</v>
      </c>
      <c r="P465" t="str">
        <f>VLOOKUP(Table1[[#This Row],[Cust '#]],ClientInfo!$A:$B,2,0)</f>
        <v>Client_05</v>
      </c>
    </row>
    <row r="466" spans="1:16">
      <c r="A466" t="s">
        <v>111</v>
      </c>
      <c r="B466" t="s">
        <v>13</v>
      </c>
      <c r="C466">
        <v>150001043</v>
      </c>
      <c r="D466" s="1">
        <v>45749</v>
      </c>
      <c r="E466">
        <v>-21</v>
      </c>
      <c r="F466">
        <v>0</v>
      </c>
      <c r="G466">
        <v>700003440</v>
      </c>
      <c r="H466" s="1">
        <v>45791</v>
      </c>
      <c r="I466">
        <f>YEAR(Table1[[#This Row],[Posting Date]])</f>
        <v>2025</v>
      </c>
      <c r="J466">
        <f>MONTH(Table1[[#This Row],[Posting Date]])</f>
        <v>4</v>
      </c>
      <c r="K466" t="str">
        <f>IF(Table1[[#This Row],[Type]]="IN",VLOOKUP(Table1[[#This Row],[Cust '#]],ClientInfo!$A:$D,4,0),"")</f>
        <v/>
      </c>
      <c r="L466" s="1" t="str">
        <f>IF(K466="NET30",Table1[[#This Row],[Posting Date]]+30,IF(K466="NET15",Table1[[#This Row],[Posting Date]]+15,IF(K466="COD",Table1[[#This Row],[Posting Date]],"")))</f>
        <v/>
      </c>
      <c r="M466" s="4" t="str">
        <f>IFERROR(IF(Table1[[#This Row],[Type]]="IN",Table1[[#This Row],[RC Date]]-Table1[[#This Row],[Posting Date]],""),"")</f>
        <v/>
      </c>
      <c r="N466">
        <f>IFERROR(IF(Table1[[#This Row],[Balance Due (LC)]]&lt;&gt;0,$S$1-L466,0),"")</f>
        <v>0</v>
      </c>
      <c r="O466">
        <f>IFERROR(IF(Table1[[#This Row],[Type]]="IN",Table1[[#This Row],[C/D (LC)]],IF(Table1[[#This Row],[Type]]="CN",Table1[[#This Row],[C/D (LC)]],"")),"")</f>
        <v>-21</v>
      </c>
      <c r="P466" t="str">
        <f>VLOOKUP(Table1[[#This Row],[Cust '#]],ClientInfo!$A:$B,2,0)</f>
        <v>Client_05</v>
      </c>
    </row>
    <row r="467" spans="1:16">
      <c r="A467" t="s">
        <v>111</v>
      </c>
      <c r="B467" t="s">
        <v>12</v>
      </c>
      <c r="C467">
        <v>140022989</v>
      </c>
      <c r="D467" s="1">
        <v>45756</v>
      </c>
      <c r="E467">
        <v>2887.8</v>
      </c>
      <c r="F467">
        <v>0</v>
      </c>
      <c r="G467">
        <v>700003440</v>
      </c>
      <c r="H467" s="1">
        <v>45791</v>
      </c>
      <c r="I467">
        <f>YEAR(Table1[[#This Row],[Posting Date]])</f>
        <v>2025</v>
      </c>
      <c r="J467">
        <f>MONTH(Table1[[#This Row],[Posting Date]])</f>
        <v>4</v>
      </c>
      <c r="K467" t="str">
        <f>IF(Table1[[#This Row],[Type]]="IN",VLOOKUP(Table1[[#This Row],[Cust '#]],ClientInfo!$A:$D,4,0),"")</f>
        <v>NET30</v>
      </c>
      <c r="L467" s="1">
        <f>IF(K467="NET30",Table1[[#This Row],[Posting Date]]+30,IF(K467="NET15",Table1[[#This Row],[Posting Date]]+15,IF(K467="COD",Table1[[#This Row],[Posting Date]],"")))</f>
        <v>45786</v>
      </c>
      <c r="M467" s="4">
        <f>IFERROR(IF(Table1[[#This Row],[Type]]="IN",Table1[[#This Row],[RC Date]]-Table1[[#This Row],[Posting Date]],""),"")</f>
        <v>35</v>
      </c>
      <c r="N467">
        <f>IFERROR(IF(Table1[[#This Row],[Balance Due (LC)]]&lt;&gt;0,$S$1-L467,0),"")</f>
        <v>0</v>
      </c>
      <c r="O467">
        <f>IFERROR(IF(Table1[[#This Row],[Type]]="IN",Table1[[#This Row],[C/D (LC)]],IF(Table1[[#This Row],[Type]]="CN",Table1[[#This Row],[C/D (LC)]],"")),"")</f>
        <v>2887.8</v>
      </c>
      <c r="P467" t="str">
        <f>VLOOKUP(Table1[[#This Row],[Cust '#]],ClientInfo!$A:$B,2,0)</f>
        <v>Client_05</v>
      </c>
    </row>
    <row r="468" spans="1:16">
      <c r="A468" t="s">
        <v>111</v>
      </c>
      <c r="B468" t="s">
        <v>13</v>
      </c>
      <c r="C468">
        <v>150001055</v>
      </c>
      <c r="D468" s="1">
        <v>45756</v>
      </c>
      <c r="E468">
        <v>-31</v>
      </c>
      <c r="F468">
        <v>0</v>
      </c>
      <c r="G468">
        <v>700003440</v>
      </c>
      <c r="H468" s="1">
        <v>45791</v>
      </c>
      <c r="I468">
        <f>YEAR(Table1[[#This Row],[Posting Date]])</f>
        <v>2025</v>
      </c>
      <c r="J468">
        <f>MONTH(Table1[[#This Row],[Posting Date]])</f>
        <v>4</v>
      </c>
      <c r="K468" t="str">
        <f>IF(Table1[[#This Row],[Type]]="IN",VLOOKUP(Table1[[#This Row],[Cust '#]],ClientInfo!$A:$D,4,0),"")</f>
        <v/>
      </c>
      <c r="L468" s="1" t="str">
        <f>IF(K468="NET30",Table1[[#This Row],[Posting Date]]+30,IF(K468="NET15",Table1[[#This Row],[Posting Date]]+15,IF(K468="COD",Table1[[#This Row],[Posting Date]],"")))</f>
        <v/>
      </c>
      <c r="M468" s="4" t="str">
        <f>IFERROR(IF(Table1[[#This Row],[Type]]="IN",Table1[[#This Row],[RC Date]]-Table1[[#This Row],[Posting Date]],""),"")</f>
        <v/>
      </c>
      <c r="N468">
        <f>IFERROR(IF(Table1[[#This Row],[Balance Due (LC)]]&lt;&gt;0,$S$1-L468,0),"")</f>
        <v>0</v>
      </c>
      <c r="O468">
        <f>IFERROR(IF(Table1[[#This Row],[Type]]="IN",Table1[[#This Row],[C/D (LC)]],IF(Table1[[#This Row],[Type]]="CN",Table1[[#This Row],[C/D (LC)]],"")),"")</f>
        <v>-31</v>
      </c>
      <c r="P468" t="str">
        <f>VLOOKUP(Table1[[#This Row],[Cust '#]],ClientInfo!$A:$B,2,0)</f>
        <v>Client_05</v>
      </c>
    </row>
    <row r="469" spans="1:16">
      <c r="A469" t="s">
        <v>111</v>
      </c>
      <c r="B469" t="s">
        <v>10</v>
      </c>
      <c r="C469">
        <v>700003201</v>
      </c>
      <c r="D469" s="1">
        <v>45756</v>
      </c>
      <c r="E469">
        <v>-12868.94</v>
      </c>
      <c r="F469">
        <v>0</v>
      </c>
      <c r="G469">
        <v>700003201</v>
      </c>
      <c r="H469" s="1">
        <v>45756</v>
      </c>
      <c r="I469">
        <f>YEAR(Table1[[#This Row],[Posting Date]])</f>
        <v>2025</v>
      </c>
      <c r="J469">
        <f>MONTH(Table1[[#This Row],[Posting Date]])</f>
        <v>4</v>
      </c>
      <c r="K469" t="str">
        <f>IF(Table1[[#This Row],[Type]]="IN",VLOOKUP(Table1[[#This Row],[Cust '#]],ClientInfo!$A:$D,4,0),"")</f>
        <v/>
      </c>
      <c r="L469" s="1" t="str">
        <f>IF(K469="NET30",Table1[[#This Row],[Posting Date]]+30,IF(K469="NET15",Table1[[#This Row],[Posting Date]]+15,IF(K469="COD",Table1[[#This Row],[Posting Date]],"")))</f>
        <v/>
      </c>
      <c r="M469" s="4" t="str">
        <f>IFERROR(IF(Table1[[#This Row],[Type]]="IN",Table1[[#This Row],[RC Date]]-Table1[[#This Row],[Posting Date]],""),"")</f>
        <v/>
      </c>
      <c r="N469">
        <f>IFERROR(IF(Table1[[#This Row],[Balance Due (LC)]]&lt;&gt;0,$S$1-L469,0),"")</f>
        <v>0</v>
      </c>
      <c r="O469" t="str">
        <f>IFERROR(IF(Table1[[#This Row],[Type]]="IN",Table1[[#This Row],[C/D (LC)]],IF(Table1[[#This Row],[Type]]="CN",Table1[[#This Row],[C/D (LC)]],"")),"")</f>
        <v/>
      </c>
      <c r="P469" t="str">
        <f>VLOOKUP(Table1[[#This Row],[Cust '#]],ClientInfo!$A:$B,2,0)</f>
        <v>Client_05</v>
      </c>
    </row>
    <row r="470" spans="1:16">
      <c r="A470" t="s">
        <v>111</v>
      </c>
      <c r="B470" t="s">
        <v>10</v>
      </c>
      <c r="C470">
        <v>700003201</v>
      </c>
      <c r="D470" s="1">
        <v>45756</v>
      </c>
      <c r="E470">
        <v>12868.94</v>
      </c>
      <c r="F470">
        <v>0</v>
      </c>
      <c r="G470">
        <v>700003201</v>
      </c>
      <c r="H470" s="1">
        <v>45756</v>
      </c>
      <c r="I470">
        <f>YEAR(Table1[[#This Row],[Posting Date]])</f>
        <v>2025</v>
      </c>
      <c r="J470">
        <f>MONTH(Table1[[#This Row],[Posting Date]])</f>
        <v>4</v>
      </c>
      <c r="K470" t="str">
        <f>IF(Table1[[#This Row],[Type]]="IN",VLOOKUP(Table1[[#This Row],[Cust '#]],ClientInfo!$A:$D,4,0),"")</f>
        <v/>
      </c>
      <c r="L470" s="1" t="str">
        <f>IF(K470="NET30",Table1[[#This Row],[Posting Date]]+30,IF(K470="NET15",Table1[[#This Row],[Posting Date]]+15,IF(K470="COD",Table1[[#This Row],[Posting Date]],"")))</f>
        <v/>
      </c>
      <c r="M470" s="4" t="str">
        <f>IFERROR(IF(Table1[[#This Row],[Type]]="IN",Table1[[#This Row],[RC Date]]-Table1[[#This Row],[Posting Date]],""),"")</f>
        <v/>
      </c>
      <c r="N470">
        <f>IFERROR(IF(Table1[[#This Row],[Balance Due (LC)]]&lt;&gt;0,$S$1-L470,0),"")</f>
        <v>0</v>
      </c>
      <c r="O470" t="str">
        <f>IFERROR(IF(Table1[[#This Row],[Type]]="IN",Table1[[#This Row],[C/D (LC)]],IF(Table1[[#This Row],[Type]]="CN",Table1[[#This Row],[C/D (LC)]],"")),"")</f>
        <v/>
      </c>
      <c r="P470" t="str">
        <f>VLOOKUP(Table1[[#This Row],[Cust '#]],ClientInfo!$A:$B,2,0)</f>
        <v>Client_05</v>
      </c>
    </row>
    <row r="471" spans="1:16">
      <c r="A471" t="s">
        <v>111</v>
      </c>
      <c r="B471" t="s">
        <v>12</v>
      </c>
      <c r="C471">
        <v>140023298</v>
      </c>
      <c r="D471" s="1">
        <v>45763</v>
      </c>
      <c r="E471">
        <v>2894.8</v>
      </c>
      <c r="F471">
        <v>0</v>
      </c>
      <c r="G471">
        <v>700003440</v>
      </c>
      <c r="H471" s="1">
        <v>45791</v>
      </c>
      <c r="I471">
        <f>YEAR(Table1[[#This Row],[Posting Date]])</f>
        <v>2025</v>
      </c>
      <c r="J471">
        <f>MONTH(Table1[[#This Row],[Posting Date]])</f>
        <v>4</v>
      </c>
      <c r="K471" t="str">
        <f>IF(Table1[[#This Row],[Type]]="IN",VLOOKUP(Table1[[#This Row],[Cust '#]],ClientInfo!$A:$D,4,0),"")</f>
        <v>NET30</v>
      </c>
      <c r="L471" s="1">
        <f>IF(K471="NET30",Table1[[#This Row],[Posting Date]]+30,IF(K471="NET15",Table1[[#This Row],[Posting Date]]+15,IF(K471="COD",Table1[[#This Row],[Posting Date]],"")))</f>
        <v>45793</v>
      </c>
      <c r="M471" s="4">
        <f>IFERROR(IF(Table1[[#This Row],[Type]]="IN",Table1[[#This Row],[RC Date]]-Table1[[#This Row],[Posting Date]],""),"")</f>
        <v>28</v>
      </c>
      <c r="N471">
        <f>IFERROR(IF(Table1[[#This Row],[Balance Due (LC)]]&lt;&gt;0,$S$1-L471,0),"")</f>
        <v>0</v>
      </c>
      <c r="O471">
        <f>IFERROR(IF(Table1[[#This Row],[Type]]="IN",Table1[[#This Row],[C/D (LC)]],IF(Table1[[#This Row],[Type]]="CN",Table1[[#This Row],[C/D (LC)]],"")),"")</f>
        <v>2894.8</v>
      </c>
      <c r="P471" t="str">
        <f>VLOOKUP(Table1[[#This Row],[Cust '#]],ClientInfo!$A:$B,2,0)</f>
        <v>Client_05</v>
      </c>
    </row>
    <row r="472" spans="1:16">
      <c r="A472" t="s">
        <v>111</v>
      </c>
      <c r="B472" t="s">
        <v>12</v>
      </c>
      <c r="C472">
        <v>140023607</v>
      </c>
      <c r="D472" s="1">
        <v>45770</v>
      </c>
      <c r="E472">
        <v>7651</v>
      </c>
      <c r="F472">
        <v>0</v>
      </c>
      <c r="G472">
        <v>700003440</v>
      </c>
      <c r="H472" s="1">
        <v>45791</v>
      </c>
      <c r="I472">
        <f>YEAR(Table1[[#This Row],[Posting Date]])</f>
        <v>2025</v>
      </c>
      <c r="J472">
        <f>MONTH(Table1[[#This Row],[Posting Date]])</f>
        <v>4</v>
      </c>
      <c r="K472" t="str">
        <f>IF(Table1[[#This Row],[Type]]="IN",VLOOKUP(Table1[[#This Row],[Cust '#]],ClientInfo!$A:$D,4,0),"")</f>
        <v>NET30</v>
      </c>
      <c r="L472" s="1">
        <f>IF(K472="NET30",Table1[[#This Row],[Posting Date]]+30,IF(K472="NET15",Table1[[#This Row],[Posting Date]]+15,IF(K472="COD",Table1[[#This Row],[Posting Date]],"")))</f>
        <v>45800</v>
      </c>
      <c r="M472" s="4">
        <f>IFERROR(IF(Table1[[#This Row],[Type]]="IN",Table1[[#This Row],[RC Date]]-Table1[[#This Row],[Posting Date]],""),"")</f>
        <v>21</v>
      </c>
      <c r="N472">
        <f>IFERROR(IF(Table1[[#This Row],[Balance Due (LC)]]&lt;&gt;0,$S$1-L472,0),"")</f>
        <v>0</v>
      </c>
      <c r="O472">
        <f>IFERROR(IF(Table1[[#This Row],[Type]]="IN",Table1[[#This Row],[C/D (LC)]],IF(Table1[[#This Row],[Type]]="CN",Table1[[#This Row],[C/D (LC)]],"")),"")</f>
        <v>7651</v>
      </c>
      <c r="P472" t="str">
        <f>VLOOKUP(Table1[[#This Row],[Cust '#]],ClientInfo!$A:$B,2,0)</f>
        <v>Client_05</v>
      </c>
    </row>
    <row r="473" spans="1:16">
      <c r="A473" t="s">
        <v>111</v>
      </c>
      <c r="B473" t="s">
        <v>12</v>
      </c>
      <c r="C473">
        <v>140024207</v>
      </c>
      <c r="D473" s="1">
        <v>45784</v>
      </c>
      <c r="E473">
        <v>8485.2000000000007</v>
      </c>
      <c r="F473">
        <v>0</v>
      </c>
      <c r="G473">
        <v>700003538</v>
      </c>
      <c r="H473" s="1">
        <v>45805</v>
      </c>
      <c r="I473">
        <f>YEAR(Table1[[#This Row],[Posting Date]])</f>
        <v>2025</v>
      </c>
      <c r="J473">
        <f>MONTH(Table1[[#This Row],[Posting Date]])</f>
        <v>5</v>
      </c>
      <c r="K473" t="str">
        <f>IF(Table1[[#This Row],[Type]]="IN",VLOOKUP(Table1[[#This Row],[Cust '#]],ClientInfo!$A:$D,4,0),"")</f>
        <v>NET30</v>
      </c>
      <c r="L473" s="1">
        <f>IF(K473="NET30",Table1[[#This Row],[Posting Date]]+30,IF(K473="NET15",Table1[[#This Row],[Posting Date]]+15,IF(K473="COD",Table1[[#This Row],[Posting Date]],"")))</f>
        <v>45814</v>
      </c>
      <c r="M473" s="4">
        <f>IFERROR(IF(Table1[[#This Row],[Type]]="IN",Table1[[#This Row],[RC Date]]-Table1[[#This Row],[Posting Date]],""),"")</f>
        <v>21</v>
      </c>
      <c r="N473">
        <f>IFERROR(IF(Table1[[#This Row],[Balance Due (LC)]]&lt;&gt;0,$S$1-L473,0),"")</f>
        <v>0</v>
      </c>
      <c r="O473">
        <f>IFERROR(IF(Table1[[#This Row],[Type]]="IN",Table1[[#This Row],[C/D (LC)]],IF(Table1[[#This Row],[Type]]="CN",Table1[[#This Row],[C/D (LC)]],"")),"")</f>
        <v>8485.2000000000007</v>
      </c>
      <c r="P473" t="str">
        <f>VLOOKUP(Table1[[#This Row],[Cust '#]],ClientInfo!$A:$B,2,0)</f>
        <v>Client_05</v>
      </c>
    </row>
    <row r="474" spans="1:16">
      <c r="A474" t="s">
        <v>111</v>
      </c>
      <c r="B474" t="s">
        <v>10</v>
      </c>
      <c r="C474">
        <v>700003440</v>
      </c>
      <c r="D474" s="1">
        <v>45791</v>
      </c>
      <c r="E474">
        <v>-20000</v>
      </c>
      <c r="F474">
        <v>0</v>
      </c>
      <c r="G474">
        <v>700003440</v>
      </c>
      <c r="H474" s="1">
        <v>45791</v>
      </c>
      <c r="I474">
        <f>YEAR(Table1[[#This Row],[Posting Date]])</f>
        <v>2025</v>
      </c>
      <c r="J474">
        <f>MONTH(Table1[[#This Row],[Posting Date]])</f>
        <v>5</v>
      </c>
      <c r="K474" t="str">
        <f>IF(Table1[[#This Row],[Type]]="IN",VLOOKUP(Table1[[#This Row],[Cust '#]],ClientInfo!$A:$D,4,0),"")</f>
        <v/>
      </c>
      <c r="L474" s="1" t="str">
        <f>IF(K474="NET30",Table1[[#This Row],[Posting Date]]+30,IF(K474="NET15",Table1[[#This Row],[Posting Date]]+15,IF(K474="COD",Table1[[#This Row],[Posting Date]],"")))</f>
        <v/>
      </c>
      <c r="M474" s="4" t="str">
        <f>IFERROR(IF(Table1[[#This Row],[Type]]="IN",Table1[[#This Row],[RC Date]]-Table1[[#This Row],[Posting Date]],""),"")</f>
        <v/>
      </c>
      <c r="N474">
        <f>IFERROR(IF(Table1[[#This Row],[Balance Due (LC)]]&lt;&gt;0,$S$1-L474,0),"")</f>
        <v>0</v>
      </c>
      <c r="O474" t="str">
        <f>IFERROR(IF(Table1[[#This Row],[Type]]="IN",Table1[[#This Row],[C/D (LC)]],IF(Table1[[#This Row],[Type]]="CN",Table1[[#This Row],[C/D (LC)]],"")),"")</f>
        <v/>
      </c>
      <c r="P474" t="str">
        <f>VLOOKUP(Table1[[#This Row],[Cust '#]],ClientInfo!$A:$B,2,0)</f>
        <v>Client_05</v>
      </c>
    </row>
    <row r="475" spans="1:16">
      <c r="A475" t="s">
        <v>111</v>
      </c>
      <c r="B475" t="s">
        <v>12</v>
      </c>
      <c r="C475">
        <v>140024506</v>
      </c>
      <c r="D475" s="1">
        <v>45791</v>
      </c>
      <c r="E475">
        <v>6408.2</v>
      </c>
      <c r="F475">
        <v>6243.6</v>
      </c>
      <c r="G475">
        <v>700003538</v>
      </c>
      <c r="H475" s="1">
        <v>45805</v>
      </c>
      <c r="I475">
        <f>YEAR(Table1[[#This Row],[Posting Date]])</f>
        <v>2025</v>
      </c>
      <c r="J475">
        <f>MONTH(Table1[[#This Row],[Posting Date]])</f>
        <v>5</v>
      </c>
      <c r="K475" t="str">
        <f>IF(Table1[[#This Row],[Type]]="IN",VLOOKUP(Table1[[#This Row],[Cust '#]],ClientInfo!$A:$D,4,0),"")</f>
        <v>NET30</v>
      </c>
      <c r="L475" s="1">
        <f>IF(K475="NET30",Table1[[#This Row],[Posting Date]]+30,IF(K475="NET15",Table1[[#This Row],[Posting Date]]+15,IF(K475="COD",Table1[[#This Row],[Posting Date]],"")))</f>
        <v>45821</v>
      </c>
      <c r="M475" s="4">
        <f>IFERROR(IF(Table1[[#This Row],[Type]]="IN",Table1[[#This Row],[RC Date]]-Table1[[#This Row],[Posting Date]],""),"")</f>
        <v>14</v>
      </c>
      <c r="N475">
        <f>IFERROR(IF(Table1[[#This Row],[Balance Due (LC)]]&lt;&gt;0,$S$1-L475,0),"")</f>
        <v>5</v>
      </c>
      <c r="O475">
        <f>IFERROR(IF(Table1[[#This Row],[Type]]="IN",Table1[[#This Row],[C/D (LC)]],IF(Table1[[#This Row],[Type]]="CN",Table1[[#This Row],[C/D (LC)]],"")),"")</f>
        <v>6408.2</v>
      </c>
      <c r="P475" t="str">
        <f>VLOOKUP(Table1[[#This Row],[Cust '#]],ClientInfo!$A:$B,2,0)</f>
        <v>Client_05</v>
      </c>
    </row>
    <row r="476" spans="1:16">
      <c r="A476" t="s">
        <v>111</v>
      </c>
      <c r="B476" t="s">
        <v>10</v>
      </c>
      <c r="C476">
        <v>700003538</v>
      </c>
      <c r="D476" s="1">
        <v>45805</v>
      </c>
      <c r="E476">
        <v>-15000</v>
      </c>
      <c r="F476">
        <v>0</v>
      </c>
      <c r="G476">
        <v>700003538</v>
      </c>
      <c r="H476" s="1">
        <v>45805</v>
      </c>
      <c r="I476">
        <f>YEAR(Table1[[#This Row],[Posting Date]])</f>
        <v>2025</v>
      </c>
      <c r="J476">
        <f>MONTH(Table1[[#This Row],[Posting Date]])</f>
        <v>5</v>
      </c>
      <c r="K476" t="str">
        <f>IF(Table1[[#This Row],[Type]]="IN",VLOOKUP(Table1[[#This Row],[Cust '#]],ClientInfo!$A:$D,4,0),"")</f>
        <v/>
      </c>
      <c r="L476" s="1" t="str">
        <f>IF(K476="NET30",Table1[[#This Row],[Posting Date]]+30,IF(K476="NET15",Table1[[#This Row],[Posting Date]]+15,IF(K476="COD",Table1[[#This Row],[Posting Date]],"")))</f>
        <v/>
      </c>
      <c r="M476" s="4" t="str">
        <f>IFERROR(IF(Table1[[#This Row],[Type]]="IN",Table1[[#This Row],[RC Date]]-Table1[[#This Row],[Posting Date]],""),"")</f>
        <v/>
      </c>
      <c r="N476">
        <f>IFERROR(IF(Table1[[#This Row],[Balance Due (LC)]]&lt;&gt;0,$S$1-L476,0),"")</f>
        <v>0</v>
      </c>
      <c r="O476" t="str">
        <f>IFERROR(IF(Table1[[#This Row],[Type]]="IN",Table1[[#This Row],[C/D (LC)]],IF(Table1[[#This Row],[Type]]="CN",Table1[[#This Row],[C/D (LC)]],"")),"")</f>
        <v/>
      </c>
      <c r="P476" t="str">
        <f>VLOOKUP(Table1[[#This Row],[Cust '#]],ClientInfo!$A:$B,2,0)</f>
        <v>Client_05</v>
      </c>
    </row>
    <row r="477" spans="1:16">
      <c r="A477" t="s">
        <v>111</v>
      </c>
      <c r="B477" t="s">
        <v>12</v>
      </c>
      <c r="C477">
        <v>140025138</v>
      </c>
      <c r="D477" s="1">
        <v>45805</v>
      </c>
      <c r="E477">
        <v>3063.8</v>
      </c>
      <c r="F477">
        <v>3063.8</v>
      </c>
      <c r="H477" s="1" t="s">
        <v>14</v>
      </c>
      <c r="I477">
        <f>YEAR(Table1[[#This Row],[Posting Date]])</f>
        <v>2025</v>
      </c>
      <c r="J477">
        <f>MONTH(Table1[[#This Row],[Posting Date]])</f>
        <v>5</v>
      </c>
      <c r="K477" t="str">
        <f>IF(Table1[[#This Row],[Type]]="IN",VLOOKUP(Table1[[#This Row],[Cust '#]],ClientInfo!$A:$D,4,0),"")</f>
        <v>NET30</v>
      </c>
      <c r="L477" s="1">
        <f>IF(K477="NET30",Table1[[#This Row],[Posting Date]]+30,IF(K477="NET15",Table1[[#This Row],[Posting Date]]+15,IF(K477="COD",Table1[[#This Row],[Posting Date]],"")))</f>
        <v>45835</v>
      </c>
      <c r="M477" s="4" t="str">
        <f>IFERROR(IF(Table1[[#This Row],[Type]]="IN",Table1[[#This Row],[RC Date]]-Table1[[#This Row],[Posting Date]],""),"")</f>
        <v/>
      </c>
      <c r="N477">
        <f>IFERROR(IF(Table1[[#This Row],[Balance Due (LC)]]&lt;&gt;0,$S$1-L477,0),"")</f>
        <v>-9</v>
      </c>
      <c r="O477">
        <f>IFERROR(IF(Table1[[#This Row],[Type]]="IN",Table1[[#This Row],[C/D (LC)]],IF(Table1[[#This Row],[Type]]="CN",Table1[[#This Row],[C/D (LC)]],"")),"")</f>
        <v>3063.8</v>
      </c>
      <c r="P477" t="str">
        <f>VLOOKUP(Table1[[#This Row],[Cust '#]],ClientInfo!$A:$B,2,0)</f>
        <v>Client_05</v>
      </c>
    </row>
    <row r="478" spans="1:16">
      <c r="A478" t="s">
        <v>111</v>
      </c>
      <c r="B478" t="s">
        <v>12</v>
      </c>
      <c r="C478">
        <v>140025429</v>
      </c>
      <c r="D478" s="1">
        <v>45812</v>
      </c>
      <c r="E478">
        <v>4533.3599999999997</v>
      </c>
      <c r="F478">
        <v>4533.3599999999997</v>
      </c>
      <c r="H478" s="1" t="s">
        <v>14</v>
      </c>
      <c r="I478">
        <f>YEAR(Table1[[#This Row],[Posting Date]])</f>
        <v>2025</v>
      </c>
      <c r="J478">
        <f>MONTH(Table1[[#This Row],[Posting Date]])</f>
        <v>6</v>
      </c>
      <c r="K478" t="str">
        <f>IF(Table1[[#This Row],[Type]]="IN",VLOOKUP(Table1[[#This Row],[Cust '#]],ClientInfo!$A:$D,4,0),"")</f>
        <v>NET30</v>
      </c>
      <c r="L478" s="1">
        <f>IF(K478="NET30",Table1[[#This Row],[Posting Date]]+30,IF(K478="NET15",Table1[[#This Row],[Posting Date]]+15,IF(K478="COD",Table1[[#This Row],[Posting Date]],"")))</f>
        <v>45842</v>
      </c>
      <c r="M478" s="4" t="str">
        <f>IFERROR(IF(Table1[[#This Row],[Type]]="IN",Table1[[#This Row],[RC Date]]-Table1[[#This Row],[Posting Date]],""),"")</f>
        <v/>
      </c>
      <c r="N478">
        <f>IFERROR(IF(Table1[[#This Row],[Balance Due (LC)]]&lt;&gt;0,$S$1-L478,0),"")</f>
        <v>-16</v>
      </c>
      <c r="O478">
        <f>IFERROR(IF(Table1[[#This Row],[Type]]="IN",Table1[[#This Row],[C/D (LC)]],IF(Table1[[#This Row],[Type]]="CN",Table1[[#This Row],[C/D (LC)]],"")),"")</f>
        <v>4533.3599999999997</v>
      </c>
      <c r="P478" t="str">
        <f>VLOOKUP(Table1[[#This Row],[Cust '#]],ClientInfo!$A:$B,2,0)</f>
        <v>Client_05</v>
      </c>
    </row>
    <row r="479" spans="1:16">
      <c r="A479" t="s">
        <v>111</v>
      </c>
      <c r="B479" t="s">
        <v>12</v>
      </c>
      <c r="C479">
        <v>140026079</v>
      </c>
      <c r="D479" s="1">
        <v>45826</v>
      </c>
      <c r="E479">
        <v>5047.58</v>
      </c>
      <c r="F479">
        <v>5047.58</v>
      </c>
      <c r="H479" s="1" t="s">
        <v>14</v>
      </c>
      <c r="I479">
        <f>YEAR(Table1[[#This Row],[Posting Date]])</f>
        <v>2025</v>
      </c>
      <c r="J479">
        <f>MONTH(Table1[[#This Row],[Posting Date]])</f>
        <v>6</v>
      </c>
      <c r="K479" t="str">
        <f>IF(Table1[[#This Row],[Type]]="IN",VLOOKUP(Table1[[#This Row],[Cust '#]],ClientInfo!$A:$D,4,0),"")</f>
        <v>NET30</v>
      </c>
      <c r="L479" s="1">
        <f>IF(K479="NET30",Table1[[#This Row],[Posting Date]]+30,IF(K479="NET15",Table1[[#This Row],[Posting Date]]+15,IF(K479="COD",Table1[[#This Row],[Posting Date]],"")))</f>
        <v>45856</v>
      </c>
      <c r="M479" s="4" t="str">
        <f>IFERROR(IF(Table1[[#This Row],[Type]]="IN",Table1[[#This Row],[RC Date]]-Table1[[#This Row],[Posting Date]],""),"")</f>
        <v/>
      </c>
      <c r="N479">
        <f>IFERROR(IF(Table1[[#This Row],[Balance Due (LC)]]&lt;&gt;0,$S$1-L479,0),"")</f>
        <v>-30</v>
      </c>
      <c r="O479">
        <f>IFERROR(IF(Table1[[#This Row],[Type]]="IN",Table1[[#This Row],[C/D (LC)]],IF(Table1[[#This Row],[Type]]="CN",Table1[[#This Row],[C/D (LC)]],"")),"")</f>
        <v>5047.58</v>
      </c>
      <c r="P479" t="str">
        <f>VLOOKUP(Table1[[#This Row],[Cust '#]],ClientInfo!$A:$B,2,0)</f>
        <v>Client_05</v>
      </c>
    </row>
    <row r="480" spans="1:16">
      <c r="A480" t="s">
        <v>112</v>
      </c>
      <c r="B480" t="s">
        <v>10</v>
      </c>
      <c r="C480">
        <v>700000016</v>
      </c>
      <c r="D480" s="1">
        <v>45254</v>
      </c>
      <c r="E480">
        <v>-0.8</v>
      </c>
      <c r="F480">
        <v>0</v>
      </c>
      <c r="G480">
        <v>700000016</v>
      </c>
      <c r="H480" s="1">
        <v>45254</v>
      </c>
      <c r="I480">
        <f>YEAR(Table1[[#This Row],[Posting Date]])</f>
        <v>2023</v>
      </c>
      <c r="J480">
        <f>MONTH(Table1[[#This Row],[Posting Date]])</f>
        <v>11</v>
      </c>
      <c r="K480" t="str">
        <f>IF(Table1[[#This Row],[Type]]="IN",VLOOKUP(Table1[[#This Row],[Cust '#]],ClientInfo!$A:$D,4,0),"")</f>
        <v/>
      </c>
      <c r="L480" s="1" t="str">
        <f>IF(K480="NET30",Table1[[#This Row],[Posting Date]]+30,IF(K480="NET15",Table1[[#This Row],[Posting Date]]+15,IF(K480="COD",Table1[[#This Row],[Posting Date]],"")))</f>
        <v/>
      </c>
      <c r="M480" s="4" t="str">
        <f>IFERROR(IF(Table1[[#This Row],[Type]]="IN",Table1[[#This Row],[RC Date]]-Table1[[#This Row],[Posting Date]],""),"")</f>
        <v/>
      </c>
      <c r="N480">
        <f>IFERROR(IF(Table1[[#This Row],[Balance Due (LC)]]&lt;&gt;0,$S$1-L480,0),"")</f>
        <v>0</v>
      </c>
      <c r="O480" t="str">
        <f>IFERROR(IF(Table1[[#This Row],[Type]]="IN",Table1[[#This Row],[C/D (LC)]],IF(Table1[[#This Row],[Type]]="CN",Table1[[#This Row],[C/D (LC)]],"")),"")</f>
        <v/>
      </c>
      <c r="P480" t="str">
        <f>VLOOKUP(Table1[[#This Row],[Cust '#]],ClientInfo!$A:$B,2,0)</f>
        <v>Client_06</v>
      </c>
    </row>
    <row r="481" spans="1:16">
      <c r="A481" t="s">
        <v>112</v>
      </c>
      <c r="B481" t="s">
        <v>10</v>
      </c>
      <c r="C481">
        <v>700000016</v>
      </c>
      <c r="D481" s="1">
        <v>45254</v>
      </c>
      <c r="E481">
        <v>0.8</v>
      </c>
      <c r="F481">
        <v>0</v>
      </c>
      <c r="G481">
        <v>700000016</v>
      </c>
      <c r="H481" s="1">
        <v>45254</v>
      </c>
      <c r="I481">
        <f>YEAR(Table1[[#This Row],[Posting Date]])</f>
        <v>2023</v>
      </c>
      <c r="J481">
        <f>MONTH(Table1[[#This Row],[Posting Date]])</f>
        <v>11</v>
      </c>
      <c r="K481" t="str">
        <f>IF(Table1[[#This Row],[Type]]="IN",VLOOKUP(Table1[[#This Row],[Cust '#]],ClientInfo!$A:$D,4,0),"")</f>
        <v/>
      </c>
      <c r="L481" s="1" t="str">
        <f>IF(K481="NET30",Table1[[#This Row],[Posting Date]]+30,IF(K481="NET15",Table1[[#This Row],[Posting Date]]+15,IF(K481="COD",Table1[[#This Row],[Posting Date]],"")))</f>
        <v/>
      </c>
      <c r="M481" s="4" t="str">
        <f>IFERROR(IF(Table1[[#This Row],[Type]]="IN",Table1[[#This Row],[RC Date]]-Table1[[#This Row],[Posting Date]],""),"")</f>
        <v/>
      </c>
      <c r="N481">
        <f>IFERROR(IF(Table1[[#This Row],[Balance Due (LC)]]&lt;&gt;0,$S$1-L481,0),"")</f>
        <v>0</v>
      </c>
      <c r="O481" t="str">
        <f>IFERROR(IF(Table1[[#This Row],[Type]]="IN",Table1[[#This Row],[C/D (LC)]],IF(Table1[[#This Row],[Type]]="CN",Table1[[#This Row],[C/D (LC)]],"")),"")</f>
        <v/>
      </c>
      <c r="P481" t="str">
        <f>VLOOKUP(Table1[[#This Row],[Cust '#]],ClientInfo!$A:$B,2,0)</f>
        <v>Client_06</v>
      </c>
    </row>
    <row r="482" spans="1:16">
      <c r="A482" t="s">
        <v>112</v>
      </c>
      <c r="B482" t="s">
        <v>10</v>
      </c>
      <c r="C482">
        <v>700000056</v>
      </c>
      <c r="D482" s="1">
        <v>45254</v>
      </c>
      <c r="E482">
        <v>0.8</v>
      </c>
      <c r="F482">
        <v>0</v>
      </c>
      <c r="G482">
        <v>860030777</v>
      </c>
      <c r="H482" s="1">
        <v>45454</v>
      </c>
      <c r="I482">
        <f>YEAR(Table1[[#This Row],[Posting Date]])</f>
        <v>2023</v>
      </c>
      <c r="J482">
        <f>MONTH(Table1[[#This Row],[Posting Date]])</f>
        <v>11</v>
      </c>
      <c r="K482" t="str">
        <f>IF(Table1[[#This Row],[Type]]="IN",VLOOKUP(Table1[[#This Row],[Cust '#]],ClientInfo!$A:$D,4,0),"")</f>
        <v/>
      </c>
      <c r="L482" s="1" t="str">
        <f>IF(K482="NET30",Table1[[#This Row],[Posting Date]]+30,IF(K482="NET15",Table1[[#This Row],[Posting Date]]+15,IF(K482="COD",Table1[[#This Row],[Posting Date]],"")))</f>
        <v/>
      </c>
      <c r="M482" s="4" t="str">
        <f>IFERROR(IF(Table1[[#This Row],[Type]]="IN",Table1[[#This Row],[RC Date]]-Table1[[#This Row],[Posting Date]],""),"")</f>
        <v/>
      </c>
      <c r="N482">
        <f>IFERROR(IF(Table1[[#This Row],[Balance Due (LC)]]&lt;&gt;0,$S$1-L482,0),"")</f>
        <v>0</v>
      </c>
      <c r="O482" t="str">
        <f>IFERROR(IF(Table1[[#This Row],[Type]]="IN",Table1[[#This Row],[C/D (LC)]],IF(Table1[[#This Row],[Type]]="CN",Table1[[#This Row],[C/D (LC)]],"")),"")</f>
        <v/>
      </c>
      <c r="P482" t="str">
        <f>VLOOKUP(Table1[[#This Row],[Cust '#]],ClientInfo!$A:$B,2,0)</f>
        <v>Client_06</v>
      </c>
    </row>
    <row r="483" spans="1:16">
      <c r="A483" t="s">
        <v>112</v>
      </c>
      <c r="B483" t="s">
        <v>12</v>
      </c>
      <c r="C483">
        <v>140003908</v>
      </c>
      <c r="D483" s="1">
        <v>45281</v>
      </c>
      <c r="E483">
        <v>941.6</v>
      </c>
      <c r="F483">
        <v>0</v>
      </c>
      <c r="G483">
        <v>700000660</v>
      </c>
      <c r="H483" s="1">
        <v>45429</v>
      </c>
      <c r="I483">
        <f>YEAR(Table1[[#This Row],[Posting Date]])</f>
        <v>2023</v>
      </c>
      <c r="J483">
        <f>MONTH(Table1[[#This Row],[Posting Date]])</f>
        <v>12</v>
      </c>
      <c r="K483" t="str">
        <f>IF(Table1[[#This Row],[Type]]="IN",VLOOKUP(Table1[[#This Row],[Cust '#]],ClientInfo!$A:$D,4,0),"")</f>
        <v>NET30</v>
      </c>
      <c r="L483" s="1">
        <f>IF(K483="NET30",Table1[[#This Row],[Posting Date]]+30,IF(K483="NET15",Table1[[#This Row],[Posting Date]]+15,IF(K483="COD",Table1[[#This Row],[Posting Date]],"")))</f>
        <v>45311</v>
      </c>
      <c r="M483" s="4">
        <f>IFERROR(IF(Table1[[#This Row],[Type]]="IN",Table1[[#This Row],[RC Date]]-Table1[[#This Row],[Posting Date]],""),"")</f>
        <v>148</v>
      </c>
      <c r="N483">
        <f>IFERROR(IF(Table1[[#This Row],[Balance Due (LC)]]&lt;&gt;0,$S$1-L483,0),"")</f>
        <v>0</v>
      </c>
      <c r="O483">
        <f>IFERROR(IF(Table1[[#This Row],[Type]]="IN",Table1[[#This Row],[C/D (LC)]],IF(Table1[[#This Row],[Type]]="CN",Table1[[#This Row],[C/D (LC)]],"")),"")</f>
        <v>941.6</v>
      </c>
      <c r="P483" t="str">
        <f>VLOOKUP(Table1[[#This Row],[Cust '#]],ClientInfo!$A:$B,2,0)</f>
        <v>Client_06</v>
      </c>
    </row>
    <row r="484" spans="1:16">
      <c r="A484" t="s">
        <v>112</v>
      </c>
      <c r="B484" t="s">
        <v>12</v>
      </c>
      <c r="C484">
        <v>140003909</v>
      </c>
      <c r="D484" s="1">
        <v>45323</v>
      </c>
      <c r="E484">
        <v>2005.6</v>
      </c>
      <c r="F484">
        <v>0</v>
      </c>
      <c r="G484">
        <v>700000185</v>
      </c>
      <c r="H484" s="1">
        <v>45366</v>
      </c>
      <c r="I484">
        <f>YEAR(Table1[[#This Row],[Posting Date]])</f>
        <v>2024</v>
      </c>
      <c r="J484">
        <f>MONTH(Table1[[#This Row],[Posting Date]])</f>
        <v>2</v>
      </c>
      <c r="K484" t="str">
        <f>IF(Table1[[#This Row],[Type]]="IN",VLOOKUP(Table1[[#This Row],[Cust '#]],ClientInfo!$A:$D,4,0),"")</f>
        <v>NET30</v>
      </c>
      <c r="L484" s="1">
        <f>IF(K484="NET30",Table1[[#This Row],[Posting Date]]+30,IF(K484="NET15",Table1[[#This Row],[Posting Date]]+15,IF(K484="COD",Table1[[#This Row],[Posting Date]],"")))</f>
        <v>45353</v>
      </c>
      <c r="M484" s="4">
        <f>IFERROR(IF(Table1[[#This Row],[Type]]="IN",Table1[[#This Row],[RC Date]]-Table1[[#This Row],[Posting Date]],""),"")</f>
        <v>43</v>
      </c>
      <c r="N484">
        <f>IFERROR(IF(Table1[[#This Row],[Balance Due (LC)]]&lt;&gt;0,$S$1-L484,0),"")</f>
        <v>0</v>
      </c>
      <c r="O484">
        <f>IFERROR(IF(Table1[[#This Row],[Type]]="IN",Table1[[#This Row],[C/D (LC)]],IF(Table1[[#This Row],[Type]]="CN",Table1[[#This Row],[C/D (LC)]],"")),"")</f>
        <v>2005.6</v>
      </c>
      <c r="P484" t="str">
        <f>VLOOKUP(Table1[[#This Row],[Cust '#]],ClientInfo!$A:$B,2,0)</f>
        <v>Client_06</v>
      </c>
    </row>
    <row r="485" spans="1:16">
      <c r="A485" t="s">
        <v>112</v>
      </c>
      <c r="B485" t="s">
        <v>12</v>
      </c>
      <c r="C485">
        <v>140003910</v>
      </c>
      <c r="D485" s="1">
        <v>45337</v>
      </c>
      <c r="E485">
        <v>2309.9</v>
      </c>
      <c r="F485">
        <v>0</v>
      </c>
      <c r="G485">
        <v>700000240</v>
      </c>
      <c r="H485" s="1">
        <v>45373</v>
      </c>
      <c r="I485">
        <f>YEAR(Table1[[#This Row],[Posting Date]])</f>
        <v>2024</v>
      </c>
      <c r="J485">
        <f>MONTH(Table1[[#This Row],[Posting Date]])</f>
        <v>2</v>
      </c>
      <c r="K485" t="str">
        <f>IF(Table1[[#This Row],[Type]]="IN",VLOOKUP(Table1[[#This Row],[Cust '#]],ClientInfo!$A:$D,4,0),"")</f>
        <v>NET30</v>
      </c>
      <c r="L485" s="1">
        <f>IF(K485="NET30",Table1[[#This Row],[Posting Date]]+30,IF(K485="NET15",Table1[[#This Row],[Posting Date]]+15,IF(K485="COD",Table1[[#This Row],[Posting Date]],"")))</f>
        <v>45367</v>
      </c>
      <c r="M485" s="4">
        <f>IFERROR(IF(Table1[[#This Row],[Type]]="IN",Table1[[#This Row],[RC Date]]-Table1[[#This Row],[Posting Date]],""),"")</f>
        <v>36</v>
      </c>
      <c r="N485">
        <f>IFERROR(IF(Table1[[#This Row],[Balance Due (LC)]]&lt;&gt;0,$S$1-L485,0),"")</f>
        <v>0</v>
      </c>
      <c r="O485">
        <f>IFERROR(IF(Table1[[#This Row],[Type]]="IN",Table1[[#This Row],[C/D (LC)]],IF(Table1[[#This Row],[Type]]="CN",Table1[[#This Row],[C/D (LC)]],"")),"")</f>
        <v>2309.9</v>
      </c>
      <c r="P485" t="str">
        <f>VLOOKUP(Table1[[#This Row],[Cust '#]],ClientInfo!$A:$B,2,0)</f>
        <v>Client_06</v>
      </c>
    </row>
    <row r="486" spans="1:16">
      <c r="A486" t="s">
        <v>112</v>
      </c>
      <c r="B486" t="s">
        <v>12</v>
      </c>
      <c r="C486">
        <v>140003911</v>
      </c>
      <c r="D486" s="1">
        <v>45351</v>
      </c>
      <c r="E486">
        <v>1997.3</v>
      </c>
      <c r="F486">
        <v>0</v>
      </c>
      <c r="G486">
        <v>700000471</v>
      </c>
      <c r="H486" s="1">
        <v>45404</v>
      </c>
      <c r="I486">
        <f>YEAR(Table1[[#This Row],[Posting Date]])</f>
        <v>2024</v>
      </c>
      <c r="J486">
        <f>MONTH(Table1[[#This Row],[Posting Date]])</f>
        <v>2</v>
      </c>
      <c r="K486" t="str">
        <f>IF(Table1[[#This Row],[Type]]="IN",VLOOKUP(Table1[[#This Row],[Cust '#]],ClientInfo!$A:$D,4,0),"")</f>
        <v>NET30</v>
      </c>
      <c r="L486" s="1">
        <f>IF(K486="NET30",Table1[[#This Row],[Posting Date]]+30,IF(K486="NET15",Table1[[#This Row],[Posting Date]]+15,IF(K486="COD",Table1[[#This Row],[Posting Date]],"")))</f>
        <v>45381</v>
      </c>
      <c r="M486" s="4">
        <f>IFERROR(IF(Table1[[#This Row],[Type]]="IN",Table1[[#This Row],[RC Date]]-Table1[[#This Row],[Posting Date]],""),"")</f>
        <v>53</v>
      </c>
      <c r="N486">
        <f>IFERROR(IF(Table1[[#This Row],[Balance Due (LC)]]&lt;&gt;0,$S$1-L486,0),"")</f>
        <v>0</v>
      </c>
      <c r="O486">
        <f>IFERROR(IF(Table1[[#This Row],[Type]]="IN",Table1[[#This Row],[C/D (LC)]],IF(Table1[[#This Row],[Type]]="CN",Table1[[#This Row],[C/D (LC)]],"")),"")</f>
        <v>1997.3</v>
      </c>
      <c r="P486" t="str">
        <f>VLOOKUP(Table1[[#This Row],[Cust '#]],ClientInfo!$A:$B,2,0)</f>
        <v>Client_06</v>
      </c>
    </row>
    <row r="487" spans="1:16">
      <c r="A487" t="s">
        <v>112</v>
      </c>
      <c r="B487" t="s">
        <v>12</v>
      </c>
      <c r="C487">
        <v>140005003</v>
      </c>
      <c r="D487" s="1">
        <v>45365</v>
      </c>
      <c r="E487">
        <v>2531.85</v>
      </c>
      <c r="F487">
        <v>0</v>
      </c>
      <c r="G487">
        <v>700000521</v>
      </c>
      <c r="H487" s="1">
        <v>45412</v>
      </c>
      <c r="I487">
        <f>YEAR(Table1[[#This Row],[Posting Date]])</f>
        <v>2024</v>
      </c>
      <c r="J487">
        <f>MONTH(Table1[[#This Row],[Posting Date]])</f>
        <v>3</v>
      </c>
      <c r="K487" t="str">
        <f>IF(Table1[[#This Row],[Type]]="IN",VLOOKUP(Table1[[#This Row],[Cust '#]],ClientInfo!$A:$D,4,0),"")</f>
        <v>NET30</v>
      </c>
      <c r="L487" s="1">
        <f>IF(K487="NET30",Table1[[#This Row],[Posting Date]]+30,IF(K487="NET15",Table1[[#This Row],[Posting Date]]+15,IF(K487="COD",Table1[[#This Row],[Posting Date]],"")))</f>
        <v>45395</v>
      </c>
      <c r="M487" s="4">
        <f>IFERROR(IF(Table1[[#This Row],[Type]]="IN",Table1[[#This Row],[RC Date]]-Table1[[#This Row],[Posting Date]],""),"")</f>
        <v>47</v>
      </c>
      <c r="N487">
        <f>IFERROR(IF(Table1[[#This Row],[Balance Due (LC)]]&lt;&gt;0,$S$1-L487,0),"")</f>
        <v>0</v>
      </c>
      <c r="O487">
        <f>IFERROR(IF(Table1[[#This Row],[Type]]="IN",Table1[[#This Row],[C/D (LC)]],IF(Table1[[#This Row],[Type]]="CN",Table1[[#This Row],[C/D (LC)]],"")),"")</f>
        <v>2531.85</v>
      </c>
      <c r="P487" t="str">
        <f>VLOOKUP(Table1[[#This Row],[Cust '#]],ClientInfo!$A:$B,2,0)</f>
        <v>Client_06</v>
      </c>
    </row>
    <row r="488" spans="1:16">
      <c r="A488" t="s">
        <v>112</v>
      </c>
      <c r="B488" t="s">
        <v>10</v>
      </c>
      <c r="C488">
        <v>700000185</v>
      </c>
      <c r="D488" s="1">
        <v>45366</v>
      </c>
      <c r="E488">
        <v>-2005.6</v>
      </c>
      <c r="F488">
        <v>0</v>
      </c>
      <c r="G488">
        <v>700000185</v>
      </c>
      <c r="H488" s="1">
        <v>45366</v>
      </c>
      <c r="I488">
        <f>YEAR(Table1[[#This Row],[Posting Date]])</f>
        <v>2024</v>
      </c>
      <c r="J488">
        <f>MONTH(Table1[[#This Row],[Posting Date]])</f>
        <v>3</v>
      </c>
      <c r="K488" t="str">
        <f>IF(Table1[[#This Row],[Type]]="IN",VLOOKUP(Table1[[#This Row],[Cust '#]],ClientInfo!$A:$D,4,0),"")</f>
        <v/>
      </c>
      <c r="L488" s="1" t="str">
        <f>IF(K488="NET30",Table1[[#This Row],[Posting Date]]+30,IF(K488="NET15",Table1[[#This Row],[Posting Date]]+15,IF(K488="COD",Table1[[#This Row],[Posting Date]],"")))</f>
        <v/>
      </c>
      <c r="M488" s="4" t="str">
        <f>IFERROR(IF(Table1[[#This Row],[Type]]="IN",Table1[[#This Row],[RC Date]]-Table1[[#This Row],[Posting Date]],""),"")</f>
        <v/>
      </c>
      <c r="N488">
        <f>IFERROR(IF(Table1[[#This Row],[Balance Due (LC)]]&lt;&gt;0,$S$1-L488,0),"")</f>
        <v>0</v>
      </c>
      <c r="O488" t="str">
        <f>IFERROR(IF(Table1[[#This Row],[Type]]="IN",Table1[[#This Row],[C/D (LC)]],IF(Table1[[#This Row],[Type]]="CN",Table1[[#This Row],[C/D (LC)]],"")),"")</f>
        <v/>
      </c>
      <c r="P488" t="str">
        <f>VLOOKUP(Table1[[#This Row],[Cust '#]],ClientInfo!$A:$B,2,0)</f>
        <v>Client_06</v>
      </c>
    </row>
    <row r="489" spans="1:16">
      <c r="A489" t="s">
        <v>112</v>
      </c>
      <c r="B489" t="s">
        <v>10</v>
      </c>
      <c r="C489">
        <v>700000240</v>
      </c>
      <c r="D489" s="1">
        <v>45373</v>
      </c>
      <c r="E489">
        <v>-2309.9</v>
      </c>
      <c r="F489">
        <v>0</v>
      </c>
      <c r="G489">
        <v>700000240</v>
      </c>
      <c r="H489" s="1">
        <v>45373</v>
      </c>
      <c r="I489">
        <f>YEAR(Table1[[#This Row],[Posting Date]])</f>
        <v>2024</v>
      </c>
      <c r="J489">
        <f>MONTH(Table1[[#This Row],[Posting Date]])</f>
        <v>3</v>
      </c>
      <c r="K489" t="str">
        <f>IF(Table1[[#This Row],[Type]]="IN",VLOOKUP(Table1[[#This Row],[Cust '#]],ClientInfo!$A:$D,4,0),"")</f>
        <v/>
      </c>
      <c r="L489" s="1" t="str">
        <f>IF(K489="NET30",Table1[[#This Row],[Posting Date]]+30,IF(K489="NET15",Table1[[#This Row],[Posting Date]]+15,IF(K489="COD",Table1[[#This Row],[Posting Date]],"")))</f>
        <v/>
      </c>
      <c r="M489" s="4" t="str">
        <f>IFERROR(IF(Table1[[#This Row],[Type]]="IN",Table1[[#This Row],[RC Date]]-Table1[[#This Row],[Posting Date]],""),"")</f>
        <v/>
      </c>
      <c r="N489">
        <f>IFERROR(IF(Table1[[#This Row],[Balance Due (LC)]]&lt;&gt;0,$S$1-L489,0),"")</f>
        <v>0</v>
      </c>
      <c r="O489" t="str">
        <f>IFERROR(IF(Table1[[#This Row],[Type]]="IN",Table1[[#This Row],[C/D (LC)]],IF(Table1[[#This Row],[Type]]="CN",Table1[[#This Row],[C/D (LC)]],"")),"")</f>
        <v/>
      </c>
      <c r="P489" t="str">
        <f>VLOOKUP(Table1[[#This Row],[Cust '#]],ClientInfo!$A:$B,2,0)</f>
        <v>Client_06</v>
      </c>
    </row>
    <row r="490" spans="1:16">
      <c r="A490" t="s">
        <v>112</v>
      </c>
      <c r="B490" t="s">
        <v>12</v>
      </c>
      <c r="C490">
        <v>140005603</v>
      </c>
      <c r="D490" s="1">
        <v>45379</v>
      </c>
      <c r="E490">
        <v>2928.2</v>
      </c>
      <c r="F490">
        <v>0</v>
      </c>
      <c r="G490">
        <v>700000614</v>
      </c>
      <c r="H490" s="1">
        <v>45422</v>
      </c>
      <c r="I490">
        <f>YEAR(Table1[[#This Row],[Posting Date]])</f>
        <v>2024</v>
      </c>
      <c r="J490">
        <f>MONTH(Table1[[#This Row],[Posting Date]])</f>
        <v>3</v>
      </c>
      <c r="K490" t="str">
        <f>IF(Table1[[#This Row],[Type]]="IN",VLOOKUP(Table1[[#This Row],[Cust '#]],ClientInfo!$A:$D,4,0),"")</f>
        <v>NET30</v>
      </c>
      <c r="L490" s="1">
        <f>IF(K490="NET30",Table1[[#This Row],[Posting Date]]+30,IF(K490="NET15",Table1[[#This Row],[Posting Date]]+15,IF(K490="COD",Table1[[#This Row],[Posting Date]],"")))</f>
        <v>45409</v>
      </c>
      <c r="M490" s="4">
        <f>IFERROR(IF(Table1[[#This Row],[Type]]="IN",Table1[[#This Row],[RC Date]]-Table1[[#This Row],[Posting Date]],""),"")</f>
        <v>43</v>
      </c>
      <c r="N490">
        <f>IFERROR(IF(Table1[[#This Row],[Balance Due (LC)]]&lt;&gt;0,$S$1-L490,0),"")</f>
        <v>0</v>
      </c>
      <c r="O490">
        <f>IFERROR(IF(Table1[[#This Row],[Type]]="IN",Table1[[#This Row],[C/D (LC)]],IF(Table1[[#This Row],[Type]]="CN",Table1[[#This Row],[C/D (LC)]],"")),"")</f>
        <v>2928.2</v>
      </c>
      <c r="P490" t="str">
        <f>VLOOKUP(Table1[[#This Row],[Cust '#]],ClientInfo!$A:$B,2,0)</f>
        <v>Client_06</v>
      </c>
    </row>
    <row r="491" spans="1:16">
      <c r="A491" t="s">
        <v>112</v>
      </c>
      <c r="B491" t="s">
        <v>12</v>
      </c>
      <c r="C491">
        <v>140006271</v>
      </c>
      <c r="D491" s="1">
        <v>45393</v>
      </c>
      <c r="E491">
        <v>2819</v>
      </c>
      <c r="F491">
        <v>0</v>
      </c>
      <c r="G491">
        <v>700000719</v>
      </c>
      <c r="H491" s="1">
        <v>45436</v>
      </c>
      <c r="I491">
        <f>YEAR(Table1[[#This Row],[Posting Date]])</f>
        <v>2024</v>
      </c>
      <c r="J491">
        <f>MONTH(Table1[[#This Row],[Posting Date]])</f>
        <v>4</v>
      </c>
      <c r="K491" t="str">
        <f>IF(Table1[[#This Row],[Type]]="IN",VLOOKUP(Table1[[#This Row],[Cust '#]],ClientInfo!$A:$D,4,0),"")</f>
        <v>NET30</v>
      </c>
      <c r="L491" s="1">
        <f>IF(K491="NET30",Table1[[#This Row],[Posting Date]]+30,IF(K491="NET15",Table1[[#This Row],[Posting Date]]+15,IF(K491="COD",Table1[[#This Row],[Posting Date]],"")))</f>
        <v>45423</v>
      </c>
      <c r="M491" s="4">
        <f>IFERROR(IF(Table1[[#This Row],[Type]]="IN",Table1[[#This Row],[RC Date]]-Table1[[#This Row],[Posting Date]],""),"")</f>
        <v>43</v>
      </c>
      <c r="N491">
        <f>IFERROR(IF(Table1[[#This Row],[Balance Due (LC)]]&lt;&gt;0,$S$1-L491,0),"")</f>
        <v>0</v>
      </c>
      <c r="O491">
        <f>IFERROR(IF(Table1[[#This Row],[Type]]="IN",Table1[[#This Row],[C/D (LC)]],IF(Table1[[#This Row],[Type]]="CN",Table1[[#This Row],[C/D (LC)]],"")),"")</f>
        <v>2819</v>
      </c>
      <c r="P491" t="str">
        <f>VLOOKUP(Table1[[#This Row],[Cust '#]],ClientInfo!$A:$B,2,0)</f>
        <v>Client_06</v>
      </c>
    </row>
    <row r="492" spans="1:16">
      <c r="A492" t="s">
        <v>112</v>
      </c>
      <c r="B492" t="s">
        <v>10</v>
      </c>
      <c r="C492">
        <v>700000471</v>
      </c>
      <c r="D492" s="1">
        <v>45404</v>
      </c>
      <c r="E492">
        <v>-1997.3</v>
      </c>
      <c r="F492">
        <v>0</v>
      </c>
      <c r="G492">
        <v>700000471</v>
      </c>
      <c r="H492" s="1">
        <v>45404</v>
      </c>
      <c r="I492">
        <f>YEAR(Table1[[#This Row],[Posting Date]])</f>
        <v>2024</v>
      </c>
      <c r="J492">
        <f>MONTH(Table1[[#This Row],[Posting Date]])</f>
        <v>4</v>
      </c>
      <c r="K492" t="str">
        <f>IF(Table1[[#This Row],[Type]]="IN",VLOOKUP(Table1[[#This Row],[Cust '#]],ClientInfo!$A:$D,4,0),"")</f>
        <v/>
      </c>
      <c r="L492" s="1" t="str">
        <f>IF(K492="NET30",Table1[[#This Row],[Posting Date]]+30,IF(K492="NET15",Table1[[#This Row],[Posting Date]]+15,IF(K492="COD",Table1[[#This Row],[Posting Date]],"")))</f>
        <v/>
      </c>
      <c r="M492" s="4" t="str">
        <f>IFERROR(IF(Table1[[#This Row],[Type]]="IN",Table1[[#This Row],[RC Date]]-Table1[[#This Row],[Posting Date]],""),"")</f>
        <v/>
      </c>
      <c r="N492">
        <f>IFERROR(IF(Table1[[#This Row],[Balance Due (LC)]]&lt;&gt;0,$S$1-L492,0),"")</f>
        <v>0</v>
      </c>
      <c r="O492" t="str">
        <f>IFERROR(IF(Table1[[#This Row],[Type]]="IN",Table1[[#This Row],[C/D (LC)]],IF(Table1[[#This Row],[Type]]="CN",Table1[[#This Row],[C/D (LC)]],"")),"")</f>
        <v/>
      </c>
      <c r="P492" t="str">
        <f>VLOOKUP(Table1[[#This Row],[Cust '#]],ClientInfo!$A:$B,2,0)</f>
        <v>Client_06</v>
      </c>
    </row>
    <row r="493" spans="1:16">
      <c r="A493" t="s">
        <v>112</v>
      </c>
      <c r="B493" t="s">
        <v>12</v>
      </c>
      <c r="C493">
        <v>140006904</v>
      </c>
      <c r="D493" s="1">
        <v>45407</v>
      </c>
      <c r="E493">
        <v>2226.36</v>
      </c>
      <c r="F493">
        <v>0</v>
      </c>
      <c r="G493">
        <v>700000843</v>
      </c>
      <c r="H493" s="1">
        <v>45454</v>
      </c>
      <c r="I493">
        <f>YEAR(Table1[[#This Row],[Posting Date]])</f>
        <v>2024</v>
      </c>
      <c r="J493">
        <f>MONTH(Table1[[#This Row],[Posting Date]])</f>
        <v>4</v>
      </c>
      <c r="K493" t="str">
        <f>IF(Table1[[#This Row],[Type]]="IN",VLOOKUP(Table1[[#This Row],[Cust '#]],ClientInfo!$A:$D,4,0),"")</f>
        <v>NET30</v>
      </c>
      <c r="L493" s="1">
        <f>IF(K493="NET30",Table1[[#This Row],[Posting Date]]+30,IF(K493="NET15",Table1[[#This Row],[Posting Date]]+15,IF(K493="COD",Table1[[#This Row],[Posting Date]],"")))</f>
        <v>45437</v>
      </c>
      <c r="M493" s="4">
        <f>IFERROR(IF(Table1[[#This Row],[Type]]="IN",Table1[[#This Row],[RC Date]]-Table1[[#This Row],[Posting Date]],""),"")</f>
        <v>47</v>
      </c>
      <c r="N493">
        <f>IFERROR(IF(Table1[[#This Row],[Balance Due (LC)]]&lt;&gt;0,$S$1-L493,0),"")</f>
        <v>0</v>
      </c>
      <c r="O493">
        <f>IFERROR(IF(Table1[[#This Row],[Type]]="IN",Table1[[#This Row],[C/D (LC)]],IF(Table1[[#This Row],[Type]]="CN",Table1[[#This Row],[C/D (LC)]],"")),"")</f>
        <v>2226.36</v>
      </c>
      <c r="P493" t="str">
        <f>VLOOKUP(Table1[[#This Row],[Cust '#]],ClientInfo!$A:$B,2,0)</f>
        <v>Client_06</v>
      </c>
    </row>
    <row r="494" spans="1:16">
      <c r="A494" t="s">
        <v>112</v>
      </c>
      <c r="B494" t="s">
        <v>10</v>
      </c>
      <c r="C494">
        <v>700000521</v>
      </c>
      <c r="D494" s="1">
        <v>45412</v>
      </c>
      <c r="E494">
        <v>-2531.85</v>
      </c>
      <c r="F494">
        <v>0</v>
      </c>
      <c r="G494">
        <v>700000521</v>
      </c>
      <c r="H494" s="1">
        <v>45412</v>
      </c>
      <c r="I494">
        <f>YEAR(Table1[[#This Row],[Posting Date]])</f>
        <v>2024</v>
      </c>
      <c r="J494">
        <f>MONTH(Table1[[#This Row],[Posting Date]])</f>
        <v>4</v>
      </c>
      <c r="K494" t="str">
        <f>IF(Table1[[#This Row],[Type]]="IN",VLOOKUP(Table1[[#This Row],[Cust '#]],ClientInfo!$A:$D,4,0),"")</f>
        <v/>
      </c>
      <c r="L494" s="1" t="str">
        <f>IF(K494="NET30",Table1[[#This Row],[Posting Date]]+30,IF(K494="NET15",Table1[[#This Row],[Posting Date]]+15,IF(K494="COD",Table1[[#This Row],[Posting Date]],"")))</f>
        <v/>
      </c>
      <c r="M494" s="4" t="str">
        <f>IFERROR(IF(Table1[[#This Row],[Type]]="IN",Table1[[#This Row],[RC Date]]-Table1[[#This Row],[Posting Date]],""),"")</f>
        <v/>
      </c>
      <c r="N494">
        <f>IFERROR(IF(Table1[[#This Row],[Balance Due (LC)]]&lt;&gt;0,$S$1-L494,0),"")</f>
        <v>0</v>
      </c>
      <c r="O494" t="str">
        <f>IFERROR(IF(Table1[[#This Row],[Type]]="IN",Table1[[#This Row],[C/D (LC)]],IF(Table1[[#This Row],[Type]]="CN",Table1[[#This Row],[C/D (LC)]],"")),"")</f>
        <v/>
      </c>
      <c r="P494" t="str">
        <f>VLOOKUP(Table1[[#This Row],[Cust '#]],ClientInfo!$A:$B,2,0)</f>
        <v>Client_06</v>
      </c>
    </row>
    <row r="495" spans="1:16">
      <c r="A495" t="s">
        <v>112</v>
      </c>
      <c r="B495" t="s">
        <v>12</v>
      </c>
      <c r="C495">
        <v>140007581</v>
      </c>
      <c r="D495" s="1">
        <v>45421</v>
      </c>
      <c r="E495">
        <v>2424.4</v>
      </c>
      <c r="F495">
        <v>0</v>
      </c>
      <c r="G495">
        <v>700000932</v>
      </c>
      <c r="H495" s="1">
        <v>45467</v>
      </c>
      <c r="I495">
        <f>YEAR(Table1[[#This Row],[Posting Date]])</f>
        <v>2024</v>
      </c>
      <c r="J495">
        <f>MONTH(Table1[[#This Row],[Posting Date]])</f>
        <v>5</v>
      </c>
      <c r="K495" t="str">
        <f>IF(Table1[[#This Row],[Type]]="IN",VLOOKUP(Table1[[#This Row],[Cust '#]],ClientInfo!$A:$D,4,0),"")</f>
        <v>NET30</v>
      </c>
      <c r="L495" s="1">
        <f>IF(K495="NET30",Table1[[#This Row],[Posting Date]]+30,IF(K495="NET15",Table1[[#This Row],[Posting Date]]+15,IF(K495="COD",Table1[[#This Row],[Posting Date]],"")))</f>
        <v>45451</v>
      </c>
      <c r="M495" s="4">
        <f>IFERROR(IF(Table1[[#This Row],[Type]]="IN",Table1[[#This Row],[RC Date]]-Table1[[#This Row],[Posting Date]],""),"")</f>
        <v>46</v>
      </c>
      <c r="N495">
        <f>IFERROR(IF(Table1[[#This Row],[Balance Due (LC)]]&lt;&gt;0,$S$1-L495,0),"")</f>
        <v>0</v>
      </c>
      <c r="O495">
        <f>IFERROR(IF(Table1[[#This Row],[Type]]="IN",Table1[[#This Row],[C/D (LC)]],IF(Table1[[#This Row],[Type]]="CN",Table1[[#This Row],[C/D (LC)]],"")),"")</f>
        <v>2424.4</v>
      </c>
      <c r="P495" t="str">
        <f>VLOOKUP(Table1[[#This Row],[Cust '#]],ClientInfo!$A:$B,2,0)</f>
        <v>Client_06</v>
      </c>
    </row>
    <row r="496" spans="1:16">
      <c r="A496" t="s">
        <v>112</v>
      </c>
      <c r="B496" t="s">
        <v>10</v>
      </c>
      <c r="C496">
        <v>700000614</v>
      </c>
      <c r="D496" s="1">
        <v>45422</v>
      </c>
      <c r="E496">
        <v>-2928.2</v>
      </c>
      <c r="F496">
        <v>0</v>
      </c>
      <c r="G496">
        <v>700000614</v>
      </c>
      <c r="H496" s="1">
        <v>45422</v>
      </c>
      <c r="I496">
        <f>YEAR(Table1[[#This Row],[Posting Date]])</f>
        <v>2024</v>
      </c>
      <c r="J496">
        <f>MONTH(Table1[[#This Row],[Posting Date]])</f>
        <v>5</v>
      </c>
      <c r="K496" t="str">
        <f>IF(Table1[[#This Row],[Type]]="IN",VLOOKUP(Table1[[#This Row],[Cust '#]],ClientInfo!$A:$D,4,0),"")</f>
        <v/>
      </c>
      <c r="L496" s="1" t="str">
        <f>IF(K496="NET30",Table1[[#This Row],[Posting Date]]+30,IF(K496="NET15",Table1[[#This Row],[Posting Date]]+15,IF(K496="COD",Table1[[#This Row],[Posting Date]],"")))</f>
        <v/>
      </c>
      <c r="M496" s="4" t="str">
        <f>IFERROR(IF(Table1[[#This Row],[Type]]="IN",Table1[[#This Row],[RC Date]]-Table1[[#This Row],[Posting Date]],""),"")</f>
        <v/>
      </c>
      <c r="N496">
        <f>IFERROR(IF(Table1[[#This Row],[Balance Due (LC)]]&lt;&gt;0,$S$1-L496,0),"")</f>
        <v>0</v>
      </c>
      <c r="O496" t="str">
        <f>IFERROR(IF(Table1[[#This Row],[Type]]="IN",Table1[[#This Row],[C/D (LC)]],IF(Table1[[#This Row],[Type]]="CN",Table1[[#This Row],[C/D (LC)]],"")),"")</f>
        <v/>
      </c>
      <c r="P496" t="str">
        <f>VLOOKUP(Table1[[#This Row],[Cust '#]],ClientInfo!$A:$B,2,0)</f>
        <v>Client_06</v>
      </c>
    </row>
    <row r="497" spans="1:16">
      <c r="A497" t="s">
        <v>112</v>
      </c>
      <c r="B497" t="s">
        <v>10</v>
      </c>
      <c r="C497">
        <v>700000660</v>
      </c>
      <c r="D497" s="1">
        <v>45429</v>
      </c>
      <c r="E497">
        <v>-941.6</v>
      </c>
      <c r="F497">
        <v>0</v>
      </c>
      <c r="G497">
        <v>700000660</v>
      </c>
      <c r="H497" s="1">
        <v>45429</v>
      </c>
      <c r="I497">
        <f>YEAR(Table1[[#This Row],[Posting Date]])</f>
        <v>2024</v>
      </c>
      <c r="J497">
        <f>MONTH(Table1[[#This Row],[Posting Date]])</f>
        <v>5</v>
      </c>
      <c r="K497" t="str">
        <f>IF(Table1[[#This Row],[Type]]="IN",VLOOKUP(Table1[[#This Row],[Cust '#]],ClientInfo!$A:$D,4,0),"")</f>
        <v/>
      </c>
      <c r="L497" s="1" t="str">
        <f>IF(K497="NET30",Table1[[#This Row],[Posting Date]]+30,IF(K497="NET15",Table1[[#This Row],[Posting Date]]+15,IF(K497="COD",Table1[[#This Row],[Posting Date]],"")))</f>
        <v/>
      </c>
      <c r="M497" s="4" t="str">
        <f>IFERROR(IF(Table1[[#This Row],[Type]]="IN",Table1[[#This Row],[RC Date]]-Table1[[#This Row],[Posting Date]],""),"")</f>
        <v/>
      </c>
      <c r="N497">
        <f>IFERROR(IF(Table1[[#This Row],[Balance Due (LC)]]&lt;&gt;0,$S$1-L497,0),"")</f>
        <v>0</v>
      </c>
      <c r="O497" t="str">
        <f>IFERROR(IF(Table1[[#This Row],[Type]]="IN",Table1[[#This Row],[C/D (LC)]],IF(Table1[[#This Row],[Type]]="CN",Table1[[#This Row],[C/D (LC)]],"")),"")</f>
        <v/>
      </c>
      <c r="P497" t="str">
        <f>VLOOKUP(Table1[[#This Row],[Cust '#]],ClientInfo!$A:$B,2,0)</f>
        <v>Client_06</v>
      </c>
    </row>
    <row r="498" spans="1:16">
      <c r="A498" t="s">
        <v>112</v>
      </c>
      <c r="B498" t="s">
        <v>12</v>
      </c>
      <c r="C498">
        <v>140008245</v>
      </c>
      <c r="D498" s="1">
        <v>45435</v>
      </c>
      <c r="E498">
        <v>3393.05</v>
      </c>
      <c r="F498">
        <v>0</v>
      </c>
      <c r="G498">
        <v>700001049</v>
      </c>
      <c r="H498" s="1">
        <v>45481</v>
      </c>
      <c r="I498">
        <f>YEAR(Table1[[#This Row],[Posting Date]])</f>
        <v>2024</v>
      </c>
      <c r="J498">
        <f>MONTH(Table1[[#This Row],[Posting Date]])</f>
        <v>5</v>
      </c>
      <c r="K498" t="str">
        <f>IF(Table1[[#This Row],[Type]]="IN",VLOOKUP(Table1[[#This Row],[Cust '#]],ClientInfo!$A:$D,4,0),"")</f>
        <v>NET30</v>
      </c>
      <c r="L498" s="1">
        <f>IF(K498="NET30",Table1[[#This Row],[Posting Date]]+30,IF(K498="NET15",Table1[[#This Row],[Posting Date]]+15,IF(K498="COD",Table1[[#This Row],[Posting Date]],"")))</f>
        <v>45465</v>
      </c>
      <c r="M498" s="4">
        <f>IFERROR(IF(Table1[[#This Row],[Type]]="IN",Table1[[#This Row],[RC Date]]-Table1[[#This Row],[Posting Date]],""),"")</f>
        <v>46</v>
      </c>
      <c r="N498">
        <f>IFERROR(IF(Table1[[#This Row],[Balance Due (LC)]]&lt;&gt;0,$S$1-L498,0),"")</f>
        <v>0</v>
      </c>
      <c r="O498">
        <f>IFERROR(IF(Table1[[#This Row],[Type]]="IN",Table1[[#This Row],[C/D (LC)]],IF(Table1[[#This Row],[Type]]="CN",Table1[[#This Row],[C/D (LC)]],"")),"")</f>
        <v>3393.05</v>
      </c>
      <c r="P498" t="str">
        <f>VLOOKUP(Table1[[#This Row],[Cust '#]],ClientInfo!$A:$B,2,0)</f>
        <v>Client_06</v>
      </c>
    </row>
    <row r="499" spans="1:16">
      <c r="A499" t="s">
        <v>112</v>
      </c>
      <c r="B499" t="s">
        <v>10</v>
      </c>
      <c r="C499">
        <v>700000719</v>
      </c>
      <c r="D499" s="1">
        <v>45436</v>
      </c>
      <c r="E499">
        <v>-2819</v>
      </c>
      <c r="F499">
        <v>0</v>
      </c>
      <c r="G499">
        <v>700000719</v>
      </c>
      <c r="H499" s="1">
        <v>45436</v>
      </c>
      <c r="I499">
        <f>YEAR(Table1[[#This Row],[Posting Date]])</f>
        <v>2024</v>
      </c>
      <c r="J499">
        <f>MONTH(Table1[[#This Row],[Posting Date]])</f>
        <v>5</v>
      </c>
      <c r="K499" t="str">
        <f>IF(Table1[[#This Row],[Type]]="IN",VLOOKUP(Table1[[#This Row],[Cust '#]],ClientInfo!$A:$D,4,0),"")</f>
        <v/>
      </c>
      <c r="L499" s="1" t="str">
        <f>IF(K499="NET30",Table1[[#This Row],[Posting Date]]+30,IF(K499="NET15",Table1[[#This Row],[Posting Date]]+15,IF(K499="COD",Table1[[#This Row],[Posting Date]],"")))</f>
        <v/>
      </c>
      <c r="M499" s="4" t="str">
        <f>IFERROR(IF(Table1[[#This Row],[Type]]="IN",Table1[[#This Row],[RC Date]]-Table1[[#This Row],[Posting Date]],""),"")</f>
        <v/>
      </c>
      <c r="N499">
        <f>IFERROR(IF(Table1[[#This Row],[Balance Due (LC)]]&lt;&gt;0,$S$1-L499,0),"")</f>
        <v>0</v>
      </c>
      <c r="O499" t="str">
        <f>IFERROR(IF(Table1[[#This Row],[Type]]="IN",Table1[[#This Row],[C/D (LC)]],IF(Table1[[#This Row],[Type]]="CN",Table1[[#This Row],[C/D (LC)]],"")),"")</f>
        <v/>
      </c>
      <c r="P499" t="str">
        <f>VLOOKUP(Table1[[#This Row],[Cust '#]],ClientInfo!$A:$B,2,0)</f>
        <v>Client_06</v>
      </c>
    </row>
    <row r="500" spans="1:16">
      <c r="A500" t="s">
        <v>112</v>
      </c>
      <c r="B500" t="s">
        <v>12</v>
      </c>
      <c r="C500">
        <v>140008889</v>
      </c>
      <c r="D500" s="1">
        <v>45449</v>
      </c>
      <c r="E500">
        <v>2798.13</v>
      </c>
      <c r="F500">
        <v>0</v>
      </c>
      <c r="G500">
        <v>700001142</v>
      </c>
      <c r="H500" s="1">
        <v>45491</v>
      </c>
      <c r="I500">
        <f>YEAR(Table1[[#This Row],[Posting Date]])</f>
        <v>2024</v>
      </c>
      <c r="J500">
        <f>MONTH(Table1[[#This Row],[Posting Date]])</f>
        <v>6</v>
      </c>
      <c r="K500" t="str">
        <f>IF(Table1[[#This Row],[Type]]="IN",VLOOKUP(Table1[[#This Row],[Cust '#]],ClientInfo!$A:$D,4,0),"")</f>
        <v>NET30</v>
      </c>
      <c r="L500" s="1">
        <f>IF(K500="NET30",Table1[[#This Row],[Posting Date]]+30,IF(K500="NET15",Table1[[#This Row],[Posting Date]]+15,IF(K500="COD",Table1[[#This Row],[Posting Date]],"")))</f>
        <v>45479</v>
      </c>
      <c r="M500" s="4">
        <f>IFERROR(IF(Table1[[#This Row],[Type]]="IN",Table1[[#This Row],[RC Date]]-Table1[[#This Row],[Posting Date]],""),"")</f>
        <v>42</v>
      </c>
      <c r="N500">
        <f>IFERROR(IF(Table1[[#This Row],[Balance Due (LC)]]&lt;&gt;0,$S$1-L500,0),"")</f>
        <v>0</v>
      </c>
      <c r="O500">
        <f>IFERROR(IF(Table1[[#This Row],[Type]]="IN",Table1[[#This Row],[C/D (LC)]],IF(Table1[[#This Row],[Type]]="CN",Table1[[#This Row],[C/D (LC)]],"")),"")</f>
        <v>2798.13</v>
      </c>
      <c r="P500" t="str">
        <f>VLOOKUP(Table1[[#This Row],[Cust '#]],ClientInfo!$A:$B,2,0)</f>
        <v>Client_06</v>
      </c>
    </row>
    <row r="501" spans="1:16">
      <c r="A501" t="s">
        <v>112</v>
      </c>
      <c r="B501" t="s">
        <v>10</v>
      </c>
      <c r="C501">
        <v>700000843</v>
      </c>
      <c r="D501" s="1">
        <v>45454</v>
      </c>
      <c r="E501">
        <v>-2226.36</v>
      </c>
      <c r="F501">
        <v>0</v>
      </c>
      <c r="G501">
        <v>700000843</v>
      </c>
      <c r="H501" s="1">
        <v>45454</v>
      </c>
      <c r="I501">
        <f>YEAR(Table1[[#This Row],[Posting Date]])</f>
        <v>2024</v>
      </c>
      <c r="J501">
        <f>MONTH(Table1[[#This Row],[Posting Date]])</f>
        <v>6</v>
      </c>
      <c r="K501" t="str">
        <f>IF(Table1[[#This Row],[Type]]="IN",VLOOKUP(Table1[[#This Row],[Cust '#]],ClientInfo!$A:$D,4,0),"")</f>
        <v/>
      </c>
      <c r="L501" s="1" t="str">
        <f>IF(K501="NET30",Table1[[#This Row],[Posting Date]]+30,IF(K501="NET15",Table1[[#This Row],[Posting Date]]+15,IF(K501="COD",Table1[[#This Row],[Posting Date]],"")))</f>
        <v/>
      </c>
      <c r="M501" s="4" t="str">
        <f>IFERROR(IF(Table1[[#This Row],[Type]]="IN",Table1[[#This Row],[RC Date]]-Table1[[#This Row],[Posting Date]],""),"")</f>
        <v/>
      </c>
      <c r="N501">
        <f>IFERROR(IF(Table1[[#This Row],[Balance Due (LC)]]&lt;&gt;0,$S$1-L501,0),"")</f>
        <v>0</v>
      </c>
      <c r="O501" t="str">
        <f>IFERROR(IF(Table1[[#This Row],[Type]]="IN",Table1[[#This Row],[C/D (LC)]],IF(Table1[[#This Row],[Type]]="CN",Table1[[#This Row],[C/D (LC)]],"")),"")</f>
        <v/>
      </c>
      <c r="P501" t="str">
        <f>VLOOKUP(Table1[[#This Row],[Cust '#]],ClientInfo!$A:$B,2,0)</f>
        <v>Client_06</v>
      </c>
    </row>
    <row r="502" spans="1:16">
      <c r="A502" t="s">
        <v>112</v>
      </c>
      <c r="B502" t="s">
        <v>11</v>
      </c>
      <c r="C502">
        <v>860030777</v>
      </c>
      <c r="D502" s="1">
        <v>45454</v>
      </c>
      <c r="E502">
        <v>-0.8</v>
      </c>
      <c r="F502">
        <v>0</v>
      </c>
      <c r="G502">
        <v>860030777</v>
      </c>
      <c r="H502" s="1">
        <v>45454</v>
      </c>
      <c r="I502">
        <f>YEAR(Table1[[#This Row],[Posting Date]])</f>
        <v>2024</v>
      </c>
      <c r="J502">
        <f>MONTH(Table1[[#This Row],[Posting Date]])</f>
        <v>6</v>
      </c>
      <c r="K502" t="str">
        <f>IF(Table1[[#This Row],[Type]]="IN",VLOOKUP(Table1[[#This Row],[Cust '#]],ClientInfo!$A:$D,4,0),"")</f>
        <v/>
      </c>
      <c r="L502" s="1" t="str">
        <f>IF(K502="NET30",Table1[[#This Row],[Posting Date]]+30,IF(K502="NET15",Table1[[#This Row],[Posting Date]]+15,IF(K502="COD",Table1[[#This Row],[Posting Date]],"")))</f>
        <v/>
      </c>
      <c r="M502" s="4" t="str">
        <f>IFERROR(IF(Table1[[#This Row],[Type]]="IN",Table1[[#This Row],[RC Date]]-Table1[[#This Row],[Posting Date]],""),"")</f>
        <v/>
      </c>
      <c r="N502">
        <f>IFERROR(IF(Table1[[#This Row],[Balance Due (LC)]]&lt;&gt;0,$S$1-L502,0),"")</f>
        <v>0</v>
      </c>
      <c r="O502" t="str">
        <f>IFERROR(IF(Table1[[#This Row],[Type]]="IN",Table1[[#This Row],[C/D (LC)]],IF(Table1[[#This Row],[Type]]="CN",Table1[[#This Row],[C/D (LC)]],"")),"")</f>
        <v/>
      </c>
      <c r="P502" t="str">
        <f>VLOOKUP(Table1[[#This Row],[Cust '#]],ClientInfo!$A:$B,2,0)</f>
        <v>Client_06</v>
      </c>
    </row>
    <row r="503" spans="1:16">
      <c r="A503" t="s">
        <v>112</v>
      </c>
      <c r="B503" t="s">
        <v>12</v>
      </c>
      <c r="C503">
        <v>140009518</v>
      </c>
      <c r="D503" s="1">
        <v>45463</v>
      </c>
      <c r="E503">
        <v>1530.58</v>
      </c>
      <c r="F503">
        <v>0</v>
      </c>
      <c r="G503">
        <v>700001254</v>
      </c>
      <c r="H503" s="1">
        <v>45509</v>
      </c>
      <c r="I503">
        <f>YEAR(Table1[[#This Row],[Posting Date]])</f>
        <v>2024</v>
      </c>
      <c r="J503">
        <f>MONTH(Table1[[#This Row],[Posting Date]])</f>
        <v>6</v>
      </c>
      <c r="K503" t="str">
        <f>IF(Table1[[#This Row],[Type]]="IN",VLOOKUP(Table1[[#This Row],[Cust '#]],ClientInfo!$A:$D,4,0),"")</f>
        <v>NET30</v>
      </c>
      <c r="L503" s="1">
        <f>IF(K503="NET30",Table1[[#This Row],[Posting Date]]+30,IF(K503="NET15",Table1[[#This Row],[Posting Date]]+15,IF(K503="COD",Table1[[#This Row],[Posting Date]],"")))</f>
        <v>45493</v>
      </c>
      <c r="M503" s="4">
        <f>IFERROR(IF(Table1[[#This Row],[Type]]="IN",Table1[[#This Row],[RC Date]]-Table1[[#This Row],[Posting Date]],""),"")</f>
        <v>46</v>
      </c>
      <c r="N503">
        <f>IFERROR(IF(Table1[[#This Row],[Balance Due (LC)]]&lt;&gt;0,$S$1-L503,0),"")</f>
        <v>0</v>
      </c>
      <c r="O503">
        <f>IFERROR(IF(Table1[[#This Row],[Type]]="IN",Table1[[#This Row],[C/D (LC)]],IF(Table1[[#This Row],[Type]]="CN",Table1[[#This Row],[C/D (LC)]],"")),"")</f>
        <v>1530.58</v>
      </c>
      <c r="P503" t="str">
        <f>VLOOKUP(Table1[[#This Row],[Cust '#]],ClientInfo!$A:$B,2,0)</f>
        <v>Client_06</v>
      </c>
    </row>
    <row r="504" spans="1:16">
      <c r="A504" t="s">
        <v>112</v>
      </c>
      <c r="B504" t="s">
        <v>10</v>
      </c>
      <c r="C504">
        <v>700000932</v>
      </c>
      <c r="D504" s="1">
        <v>45467</v>
      </c>
      <c r="E504">
        <v>-2424.4</v>
      </c>
      <c r="F504">
        <v>0</v>
      </c>
      <c r="G504">
        <v>700000932</v>
      </c>
      <c r="H504" s="1">
        <v>45467</v>
      </c>
      <c r="I504">
        <f>YEAR(Table1[[#This Row],[Posting Date]])</f>
        <v>2024</v>
      </c>
      <c r="J504">
        <f>MONTH(Table1[[#This Row],[Posting Date]])</f>
        <v>6</v>
      </c>
      <c r="K504" t="str">
        <f>IF(Table1[[#This Row],[Type]]="IN",VLOOKUP(Table1[[#This Row],[Cust '#]],ClientInfo!$A:$D,4,0),"")</f>
        <v/>
      </c>
      <c r="L504" s="1" t="str">
        <f>IF(K504="NET30",Table1[[#This Row],[Posting Date]]+30,IF(K504="NET15",Table1[[#This Row],[Posting Date]]+15,IF(K504="COD",Table1[[#This Row],[Posting Date]],"")))</f>
        <v/>
      </c>
      <c r="M504" s="4" t="str">
        <f>IFERROR(IF(Table1[[#This Row],[Type]]="IN",Table1[[#This Row],[RC Date]]-Table1[[#This Row],[Posting Date]],""),"")</f>
        <v/>
      </c>
      <c r="N504">
        <f>IFERROR(IF(Table1[[#This Row],[Balance Due (LC)]]&lt;&gt;0,$S$1-L504,0),"")</f>
        <v>0</v>
      </c>
      <c r="O504" t="str">
        <f>IFERROR(IF(Table1[[#This Row],[Type]]="IN",Table1[[#This Row],[C/D (LC)]],IF(Table1[[#This Row],[Type]]="CN",Table1[[#This Row],[C/D (LC)]],"")),"")</f>
        <v/>
      </c>
      <c r="P504" t="str">
        <f>VLOOKUP(Table1[[#This Row],[Cust '#]],ClientInfo!$A:$B,2,0)</f>
        <v>Client_06</v>
      </c>
    </row>
    <row r="505" spans="1:16">
      <c r="A505" t="s">
        <v>112</v>
      </c>
      <c r="B505" t="s">
        <v>12</v>
      </c>
      <c r="C505">
        <v>140010162</v>
      </c>
      <c r="D505" s="1">
        <v>45477</v>
      </c>
      <c r="E505">
        <v>1265.8</v>
      </c>
      <c r="F505">
        <v>0</v>
      </c>
      <c r="G505">
        <v>700001380</v>
      </c>
      <c r="H505" s="1">
        <v>45523</v>
      </c>
      <c r="I505">
        <f>YEAR(Table1[[#This Row],[Posting Date]])</f>
        <v>2024</v>
      </c>
      <c r="J505">
        <f>MONTH(Table1[[#This Row],[Posting Date]])</f>
        <v>7</v>
      </c>
      <c r="K505" t="str">
        <f>IF(Table1[[#This Row],[Type]]="IN",VLOOKUP(Table1[[#This Row],[Cust '#]],ClientInfo!$A:$D,4,0),"")</f>
        <v>NET30</v>
      </c>
      <c r="L505" s="1">
        <f>IF(K505="NET30",Table1[[#This Row],[Posting Date]]+30,IF(K505="NET15",Table1[[#This Row],[Posting Date]]+15,IF(K505="COD",Table1[[#This Row],[Posting Date]],"")))</f>
        <v>45507</v>
      </c>
      <c r="M505" s="4">
        <f>IFERROR(IF(Table1[[#This Row],[Type]]="IN",Table1[[#This Row],[RC Date]]-Table1[[#This Row],[Posting Date]],""),"")</f>
        <v>46</v>
      </c>
      <c r="N505">
        <f>IFERROR(IF(Table1[[#This Row],[Balance Due (LC)]]&lt;&gt;0,$S$1-L505,0),"")</f>
        <v>0</v>
      </c>
      <c r="O505">
        <f>IFERROR(IF(Table1[[#This Row],[Type]]="IN",Table1[[#This Row],[C/D (LC)]],IF(Table1[[#This Row],[Type]]="CN",Table1[[#This Row],[C/D (LC)]],"")),"")</f>
        <v>1265.8</v>
      </c>
      <c r="P505" t="str">
        <f>VLOOKUP(Table1[[#This Row],[Cust '#]],ClientInfo!$A:$B,2,0)</f>
        <v>Client_06</v>
      </c>
    </row>
    <row r="506" spans="1:16">
      <c r="A506" t="s">
        <v>112</v>
      </c>
      <c r="B506" t="s">
        <v>10</v>
      </c>
      <c r="C506">
        <v>700001049</v>
      </c>
      <c r="D506" s="1">
        <v>45481</v>
      </c>
      <c r="E506">
        <v>-3393.05</v>
      </c>
      <c r="F506">
        <v>0</v>
      </c>
      <c r="G506">
        <v>700001049</v>
      </c>
      <c r="H506" s="1">
        <v>45481</v>
      </c>
      <c r="I506">
        <f>YEAR(Table1[[#This Row],[Posting Date]])</f>
        <v>2024</v>
      </c>
      <c r="J506">
        <f>MONTH(Table1[[#This Row],[Posting Date]])</f>
        <v>7</v>
      </c>
      <c r="K506" t="str">
        <f>IF(Table1[[#This Row],[Type]]="IN",VLOOKUP(Table1[[#This Row],[Cust '#]],ClientInfo!$A:$D,4,0),"")</f>
        <v/>
      </c>
      <c r="L506" s="1" t="str">
        <f>IF(K506="NET30",Table1[[#This Row],[Posting Date]]+30,IF(K506="NET15",Table1[[#This Row],[Posting Date]]+15,IF(K506="COD",Table1[[#This Row],[Posting Date]],"")))</f>
        <v/>
      </c>
      <c r="M506" s="4" t="str">
        <f>IFERROR(IF(Table1[[#This Row],[Type]]="IN",Table1[[#This Row],[RC Date]]-Table1[[#This Row],[Posting Date]],""),"")</f>
        <v/>
      </c>
      <c r="N506">
        <f>IFERROR(IF(Table1[[#This Row],[Balance Due (LC)]]&lt;&gt;0,$S$1-L506,0),"")</f>
        <v>0</v>
      </c>
      <c r="O506" t="str">
        <f>IFERROR(IF(Table1[[#This Row],[Type]]="IN",Table1[[#This Row],[C/D (LC)]],IF(Table1[[#This Row],[Type]]="CN",Table1[[#This Row],[C/D (LC)]],"")),"")</f>
        <v/>
      </c>
      <c r="P506" t="str">
        <f>VLOOKUP(Table1[[#This Row],[Cust '#]],ClientInfo!$A:$B,2,0)</f>
        <v>Client_06</v>
      </c>
    </row>
    <row r="507" spans="1:16">
      <c r="A507" t="s">
        <v>112</v>
      </c>
      <c r="B507" t="s">
        <v>12</v>
      </c>
      <c r="C507">
        <v>140010482</v>
      </c>
      <c r="D507" s="1">
        <v>45484</v>
      </c>
      <c r="E507">
        <v>1076.4000000000001</v>
      </c>
      <c r="F507">
        <v>0</v>
      </c>
      <c r="G507">
        <v>700001452</v>
      </c>
      <c r="H507" s="1">
        <v>45530</v>
      </c>
      <c r="I507">
        <f>YEAR(Table1[[#This Row],[Posting Date]])</f>
        <v>2024</v>
      </c>
      <c r="J507">
        <f>MONTH(Table1[[#This Row],[Posting Date]])</f>
        <v>7</v>
      </c>
      <c r="K507" t="str">
        <f>IF(Table1[[#This Row],[Type]]="IN",VLOOKUP(Table1[[#This Row],[Cust '#]],ClientInfo!$A:$D,4,0),"")</f>
        <v>NET30</v>
      </c>
      <c r="L507" s="1">
        <f>IF(K507="NET30",Table1[[#This Row],[Posting Date]]+30,IF(K507="NET15",Table1[[#This Row],[Posting Date]]+15,IF(K507="COD",Table1[[#This Row],[Posting Date]],"")))</f>
        <v>45514</v>
      </c>
      <c r="M507" s="4">
        <f>IFERROR(IF(Table1[[#This Row],[Type]]="IN",Table1[[#This Row],[RC Date]]-Table1[[#This Row],[Posting Date]],""),"")</f>
        <v>46</v>
      </c>
      <c r="N507">
        <f>IFERROR(IF(Table1[[#This Row],[Balance Due (LC)]]&lt;&gt;0,$S$1-L507,0),"")</f>
        <v>0</v>
      </c>
      <c r="O507">
        <f>IFERROR(IF(Table1[[#This Row],[Type]]="IN",Table1[[#This Row],[C/D (LC)]],IF(Table1[[#This Row],[Type]]="CN",Table1[[#This Row],[C/D (LC)]],"")),"")</f>
        <v>1076.4000000000001</v>
      </c>
      <c r="P507" t="str">
        <f>VLOOKUP(Table1[[#This Row],[Cust '#]],ClientInfo!$A:$B,2,0)</f>
        <v>Client_06</v>
      </c>
    </row>
    <row r="508" spans="1:16">
      <c r="A508" t="s">
        <v>112</v>
      </c>
      <c r="B508" t="s">
        <v>12</v>
      </c>
      <c r="C508">
        <v>140010784</v>
      </c>
      <c r="D508" s="1">
        <v>45491</v>
      </c>
      <c r="E508">
        <v>3566.71</v>
      </c>
      <c r="F508">
        <v>0</v>
      </c>
      <c r="G508">
        <v>700001498</v>
      </c>
      <c r="H508" s="1">
        <v>45540</v>
      </c>
      <c r="I508">
        <f>YEAR(Table1[[#This Row],[Posting Date]])</f>
        <v>2024</v>
      </c>
      <c r="J508">
        <f>MONTH(Table1[[#This Row],[Posting Date]])</f>
        <v>7</v>
      </c>
      <c r="K508" t="str">
        <f>IF(Table1[[#This Row],[Type]]="IN",VLOOKUP(Table1[[#This Row],[Cust '#]],ClientInfo!$A:$D,4,0),"")</f>
        <v>NET30</v>
      </c>
      <c r="L508" s="1">
        <f>IF(K508="NET30",Table1[[#This Row],[Posting Date]]+30,IF(K508="NET15",Table1[[#This Row],[Posting Date]]+15,IF(K508="COD",Table1[[#This Row],[Posting Date]],"")))</f>
        <v>45521</v>
      </c>
      <c r="M508" s="4">
        <f>IFERROR(IF(Table1[[#This Row],[Type]]="IN",Table1[[#This Row],[RC Date]]-Table1[[#This Row],[Posting Date]],""),"")</f>
        <v>49</v>
      </c>
      <c r="N508">
        <f>IFERROR(IF(Table1[[#This Row],[Balance Due (LC)]]&lt;&gt;0,$S$1-L508,0),"")</f>
        <v>0</v>
      </c>
      <c r="O508">
        <f>IFERROR(IF(Table1[[#This Row],[Type]]="IN",Table1[[#This Row],[C/D (LC)]],IF(Table1[[#This Row],[Type]]="CN",Table1[[#This Row],[C/D (LC)]],"")),"")</f>
        <v>3566.71</v>
      </c>
      <c r="P508" t="str">
        <f>VLOOKUP(Table1[[#This Row],[Cust '#]],ClientInfo!$A:$B,2,0)</f>
        <v>Client_06</v>
      </c>
    </row>
    <row r="509" spans="1:16">
      <c r="A509" t="s">
        <v>112</v>
      </c>
      <c r="B509" t="s">
        <v>10</v>
      </c>
      <c r="C509">
        <v>700001142</v>
      </c>
      <c r="D509" s="1">
        <v>45491</v>
      </c>
      <c r="E509">
        <v>-2798.13</v>
      </c>
      <c r="F509">
        <v>0</v>
      </c>
      <c r="G509">
        <v>700001142</v>
      </c>
      <c r="H509" s="1">
        <v>45491</v>
      </c>
      <c r="I509">
        <f>YEAR(Table1[[#This Row],[Posting Date]])</f>
        <v>2024</v>
      </c>
      <c r="J509">
        <f>MONTH(Table1[[#This Row],[Posting Date]])</f>
        <v>7</v>
      </c>
      <c r="K509" t="str">
        <f>IF(Table1[[#This Row],[Type]]="IN",VLOOKUP(Table1[[#This Row],[Cust '#]],ClientInfo!$A:$D,4,0),"")</f>
        <v/>
      </c>
      <c r="L509" s="1" t="str">
        <f>IF(K509="NET30",Table1[[#This Row],[Posting Date]]+30,IF(K509="NET15",Table1[[#This Row],[Posting Date]]+15,IF(K509="COD",Table1[[#This Row],[Posting Date]],"")))</f>
        <v/>
      </c>
      <c r="M509" s="4" t="str">
        <f>IFERROR(IF(Table1[[#This Row],[Type]]="IN",Table1[[#This Row],[RC Date]]-Table1[[#This Row],[Posting Date]],""),"")</f>
        <v/>
      </c>
      <c r="N509">
        <f>IFERROR(IF(Table1[[#This Row],[Balance Due (LC)]]&lt;&gt;0,$S$1-L509,0),"")</f>
        <v>0</v>
      </c>
      <c r="O509" t="str">
        <f>IFERROR(IF(Table1[[#This Row],[Type]]="IN",Table1[[#This Row],[C/D (LC)]],IF(Table1[[#This Row],[Type]]="CN",Table1[[#This Row],[C/D (LC)]],"")),"")</f>
        <v/>
      </c>
      <c r="P509" t="str">
        <f>VLOOKUP(Table1[[#This Row],[Cust '#]],ClientInfo!$A:$B,2,0)</f>
        <v>Client_06</v>
      </c>
    </row>
    <row r="510" spans="1:16">
      <c r="A510" t="s">
        <v>112</v>
      </c>
      <c r="B510" t="s">
        <v>12</v>
      </c>
      <c r="C510">
        <v>140011428</v>
      </c>
      <c r="D510" s="1">
        <v>45505</v>
      </c>
      <c r="E510">
        <v>3521.72</v>
      </c>
      <c r="F510">
        <v>0</v>
      </c>
      <c r="G510">
        <v>700001588</v>
      </c>
      <c r="H510" s="1">
        <v>45551</v>
      </c>
      <c r="I510">
        <f>YEAR(Table1[[#This Row],[Posting Date]])</f>
        <v>2024</v>
      </c>
      <c r="J510">
        <f>MONTH(Table1[[#This Row],[Posting Date]])</f>
        <v>8</v>
      </c>
      <c r="K510" t="str">
        <f>IF(Table1[[#This Row],[Type]]="IN",VLOOKUP(Table1[[#This Row],[Cust '#]],ClientInfo!$A:$D,4,0),"")</f>
        <v>NET30</v>
      </c>
      <c r="L510" s="1">
        <f>IF(K510="NET30",Table1[[#This Row],[Posting Date]]+30,IF(K510="NET15",Table1[[#This Row],[Posting Date]]+15,IF(K510="COD",Table1[[#This Row],[Posting Date]],"")))</f>
        <v>45535</v>
      </c>
      <c r="M510" s="4">
        <f>IFERROR(IF(Table1[[#This Row],[Type]]="IN",Table1[[#This Row],[RC Date]]-Table1[[#This Row],[Posting Date]],""),"")</f>
        <v>46</v>
      </c>
      <c r="N510">
        <f>IFERROR(IF(Table1[[#This Row],[Balance Due (LC)]]&lt;&gt;0,$S$1-L510,0),"")</f>
        <v>0</v>
      </c>
      <c r="O510">
        <f>IFERROR(IF(Table1[[#This Row],[Type]]="IN",Table1[[#This Row],[C/D (LC)]],IF(Table1[[#This Row],[Type]]="CN",Table1[[#This Row],[C/D (LC)]],"")),"")</f>
        <v>3521.72</v>
      </c>
      <c r="P510" t="str">
        <f>VLOOKUP(Table1[[#This Row],[Cust '#]],ClientInfo!$A:$B,2,0)</f>
        <v>Client_06</v>
      </c>
    </row>
    <row r="511" spans="1:16">
      <c r="A511" t="s">
        <v>112</v>
      </c>
      <c r="B511" t="s">
        <v>10</v>
      </c>
      <c r="C511">
        <v>700001254</v>
      </c>
      <c r="D511" s="1">
        <v>45509</v>
      </c>
      <c r="E511">
        <v>-1530.58</v>
      </c>
      <c r="F511">
        <v>0</v>
      </c>
      <c r="G511">
        <v>700001254</v>
      </c>
      <c r="H511" s="1">
        <v>45509</v>
      </c>
      <c r="I511">
        <f>YEAR(Table1[[#This Row],[Posting Date]])</f>
        <v>2024</v>
      </c>
      <c r="J511">
        <f>MONTH(Table1[[#This Row],[Posting Date]])</f>
        <v>8</v>
      </c>
      <c r="K511" t="str">
        <f>IF(Table1[[#This Row],[Type]]="IN",VLOOKUP(Table1[[#This Row],[Cust '#]],ClientInfo!$A:$D,4,0),"")</f>
        <v/>
      </c>
      <c r="L511" s="1" t="str">
        <f>IF(K511="NET30",Table1[[#This Row],[Posting Date]]+30,IF(K511="NET15",Table1[[#This Row],[Posting Date]]+15,IF(K511="COD",Table1[[#This Row],[Posting Date]],"")))</f>
        <v/>
      </c>
      <c r="M511" s="4" t="str">
        <f>IFERROR(IF(Table1[[#This Row],[Type]]="IN",Table1[[#This Row],[RC Date]]-Table1[[#This Row],[Posting Date]],""),"")</f>
        <v/>
      </c>
      <c r="N511">
        <f>IFERROR(IF(Table1[[#This Row],[Balance Due (LC)]]&lt;&gt;0,$S$1-L511,0),"")</f>
        <v>0</v>
      </c>
      <c r="O511" t="str">
        <f>IFERROR(IF(Table1[[#This Row],[Type]]="IN",Table1[[#This Row],[C/D (LC)]],IF(Table1[[#This Row],[Type]]="CN",Table1[[#This Row],[C/D (LC)]],"")),"")</f>
        <v/>
      </c>
      <c r="P511" t="str">
        <f>VLOOKUP(Table1[[#This Row],[Cust '#]],ClientInfo!$A:$B,2,0)</f>
        <v>Client_06</v>
      </c>
    </row>
    <row r="512" spans="1:16">
      <c r="A512" t="s">
        <v>112</v>
      </c>
      <c r="B512" t="s">
        <v>12</v>
      </c>
      <c r="C512">
        <v>140012043</v>
      </c>
      <c r="D512" s="1">
        <v>45519</v>
      </c>
      <c r="E512">
        <v>2207.84</v>
      </c>
      <c r="F512">
        <v>0</v>
      </c>
      <c r="G512">
        <v>700001652</v>
      </c>
      <c r="H512" s="1">
        <v>45558</v>
      </c>
      <c r="I512">
        <f>YEAR(Table1[[#This Row],[Posting Date]])</f>
        <v>2024</v>
      </c>
      <c r="J512">
        <f>MONTH(Table1[[#This Row],[Posting Date]])</f>
        <v>8</v>
      </c>
      <c r="K512" t="str">
        <f>IF(Table1[[#This Row],[Type]]="IN",VLOOKUP(Table1[[#This Row],[Cust '#]],ClientInfo!$A:$D,4,0),"")</f>
        <v>NET30</v>
      </c>
      <c r="L512" s="1">
        <f>IF(K512="NET30",Table1[[#This Row],[Posting Date]]+30,IF(K512="NET15",Table1[[#This Row],[Posting Date]]+15,IF(K512="COD",Table1[[#This Row],[Posting Date]],"")))</f>
        <v>45549</v>
      </c>
      <c r="M512" s="4">
        <f>IFERROR(IF(Table1[[#This Row],[Type]]="IN",Table1[[#This Row],[RC Date]]-Table1[[#This Row],[Posting Date]],""),"")</f>
        <v>39</v>
      </c>
      <c r="N512">
        <f>IFERROR(IF(Table1[[#This Row],[Balance Due (LC)]]&lt;&gt;0,$S$1-L512,0),"")</f>
        <v>0</v>
      </c>
      <c r="O512">
        <f>IFERROR(IF(Table1[[#This Row],[Type]]="IN",Table1[[#This Row],[C/D (LC)]],IF(Table1[[#This Row],[Type]]="CN",Table1[[#This Row],[C/D (LC)]],"")),"")</f>
        <v>2207.84</v>
      </c>
      <c r="P512" t="str">
        <f>VLOOKUP(Table1[[#This Row],[Cust '#]],ClientInfo!$A:$B,2,0)</f>
        <v>Client_06</v>
      </c>
    </row>
    <row r="513" spans="1:16">
      <c r="A513" t="s">
        <v>112</v>
      </c>
      <c r="B513" t="s">
        <v>10</v>
      </c>
      <c r="C513">
        <v>700001380</v>
      </c>
      <c r="D513" s="1">
        <v>45523</v>
      </c>
      <c r="E513">
        <v>-1265.8</v>
      </c>
      <c r="F513">
        <v>0</v>
      </c>
      <c r="G513">
        <v>700001380</v>
      </c>
      <c r="H513" s="1">
        <v>45523</v>
      </c>
      <c r="I513">
        <f>YEAR(Table1[[#This Row],[Posting Date]])</f>
        <v>2024</v>
      </c>
      <c r="J513">
        <f>MONTH(Table1[[#This Row],[Posting Date]])</f>
        <v>8</v>
      </c>
      <c r="K513" t="str">
        <f>IF(Table1[[#This Row],[Type]]="IN",VLOOKUP(Table1[[#This Row],[Cust '#]],ClientInfo!$A:$D,4,0),"")</f>
        <v/>
      </c>
      <c r="L513" s="1" t="str">
        <f>IF(K513="NET30",Table1[[#This Row],[Posting Date]]+30,IF(K513="NET15",Table1[[#This Row],[Posting Date]]+15,IF(K513="COD",Table1[[#This Row],[Posting Date]],"")))</f>
        <v/>
      </c>
      <c r="M513" s="4" t="str">
        <f>IFERROR(IF(Table1[[#This Row],[Type]]="IN",Table1[[#This Row],[RC Date]]-Table1[[#This Row],[Posting Date]],""),"")</f>
        <v/>
      </c>
      <c r="N513">
        <f>IFERROR(IF(Table1[[#This Row],[Balance Due (LC)]]&lt;&gt;0,$S$1-L513,0),"")</f>
        <v>0</v>
      </c>
      <c r="O513" t="str">
        <f>IFERROR(IF(Table1[[#This Row],[Type]]="IN",Table1[[#This Row],[C/D (LC)]],IF(Table1[[#This Row],[Type]]="CN",Table1[[#This Row],[C/D (LC)]],"")),"")</f>
        <v/>
      </c>
      <c r="P513" t="str">
        <f>VLOOKUP(Table1[[#This Row],[Cust '#]],ClientInfo!$A:$B,2,0)</f>
        <v>Client_06</v>
      </c>
    </row>
    <row r="514" spans="1:16">
      <c r="A514" t="s">
        <v>112</v>
      </c>
      <c r="B514" t="s">
        <v>13</v>
      </c>
      <c r="C514">
        <v>150000552</v>
      </c>
      <c r="D514" s="1">
        <v>45528</v>
      </c>
      <c r="E514">
        <v>-30.6</v>
      </c>
      <c r="F514">
        <v>0</v>
      </c>
      <c r="G514">
        <v>700001588</v>
      </c>
      <c r="H514" s="1">
        <v>45551</v>
      </c>
      <c r="I514">
        <f>YEAR(Table1[[#This Row],[Posting Date]])</f>
        <v>2024</v>
      </c>
      <c r="J514">
        <f>MONTH(Table1[[#This Row],[Posting Date]])</f>
        <v>8</v>
      </c>
      <c r="K514" t="str">
        <f>IF(Table1[[#This Row],[Type]]="IN",VLOOKUP(Table1[[#This Row],[Cust '#]],ClientInfo!$A:$D,4,0),"")</f>
        <v/>
      </c>
      <c r="L514" s="1" t="str">
        <f>IF(K514="NET30",Table1[[#This Row],[Posting Date]]+30,IF(K514="NET15",Table1[[#This Row],[Posting Date]]+15,IF(K514="COD",Table1[[#This Row],[Posting Date]],"")))</f>
        <v/>
      </c>
      <c r="M514" s="4" t="str">
        <f>IFERROR(IF(Table1[[#This Row],[Type]]="IN",Table1[[#This Row],[RC Date]]-Table1[[#This Row],[Posting Date]],""),"")</f>
        <v/>
      </c>
      <c r="N514">
        <f>IFERROR(IF(Table1[[#This Row],[Balance Due (LC)]]&lt;&gt;0,$S$1-L514,0),"")</f>
        <v>0</v>
      </c>
      <c r="O514">
        <f>IFERROR(IF(Table1[[#This Row],[Type]]="IN",Table1[[#This Row],[C/D (LC)]],IF(Table1[[#This Row],[Type]]="CN",Table1[[#This Row],[C/D (LC)]],"")),"")</f>
        <v>-30.6</v>
      </c>
      <c r="P514" t="str">
        <f>VLOOKUP(Table1[[#This Row],[Cust '#]],ClientInfo!$A:$B,2,0)</f>
        <v>Client_06</v>
      </c>
    </row>
    <row r="515" spans="1:16">
      <c r="A515" t="s">
        <v>112</v>
      </c>
      <c r="B515" t="s">
        <v>10</v>
      </c>
      <c r="C515">
        <v>700001431</v>
      </c>
      <c r="D515" s="1">
        <v>45530</v>
      </c>
      <c r="E515">
        <v>-1076.4000000000001</v>
      </c>
      <c r="F515">
        <v>0</v>
      </c>
      <c r="G515">
        <v>700001431</v>
      </c>
      <c r="H515" s="1">
        <v>45530</v>
      </c>
      <c r="I515">
        <f>YEAR(Table1[[#This Row],[Posting Date]])</f>
        <v>2024</v>
      </c>
      <c r="J515">
        <f>MONTH(Table1[[#This Row],[Posting Date]])</f>
        <v>8</v>
      </c>
      <c r="K515" t="str">
        <f>IF(Table1[[#This Row],[Type]]="IN",VLOOKUP(Table1[[#This Row],[Cust '#]],ClientInfo!$A:$D,4,0),"")</f>
        <v/>
      </c>
      <c r="L515" s="1" t="str">
        <f>IF(K515="NET30",Table1[[#This Row],[Posting Date]]+30,IF(K515="NET15",Table1[[#This Row],[Posting Date]]+15,IF(K515="COD",Table1[[#This Row],[Posting Date]],"")))</f>
        <v/>
      </c>
      <c r="M515" s="4" t="str">
        <f>IFERROR(IF(Table1[[#This Row],[Type]]="IN",Table1[[#This Row],[RC Date]]-Table1[[#This Row],[Posting Date]],""),"")</f>
        <v/>
      </c>
      <c r="N515">
        <f>IFERROR(IF(Table1[[#This Row],[Balance Due (LC)]]&lt;&gt;0,$S$1-L515,0),"")</f>
        <v>0</v>
      </c>
      <c r="O515" t="str">
        <f>IFERROR(IF(Table1[[#This Row],[Type]]="IN",Table1[[#This Row],[C/D (LC)]],IF(Table1[[#This Row],[Type]]="CN",Table1[[#This Row],[C/D (LC)]],"")),"")</f>
        <v/>
      </c>
      <c r="P515" t="str">
        <f>VLOOKUP(Table1[[#This Row],[Cust '#]],ClientInfo!$A:$B,2,0)</f>
        <v>Client_06</v>
      </c>
    </row>
    <row r="516" spans="1:16">
      <c r="A516" t="s">
        <v>112</v>
      </c>
      <c r="B516" t="s">
        <v>10</v>
      </c>
      <c r="C516">
        <v>700001431</v>
      </c>
      <c r="D516" s="1">
        <v>45530</v>
      </c>
      <c r="E516">
        <v>1076.4000000000001</v>
      </c>
      <c r="F516">
        <v>0</v>
      </c>
      <c r="G516">
        <v>700001431</v>
      </c>
      <c r="H516" s="1">
        <v>45530</v>
      </c>
      <c r="I516">
        <f>YEAR(Table1[[#This Row],[Posting Date]])</f>
        <v>2024</v>
      </c>
      <c r="J516">
        <f>MONTH(Table1[[#This Row],[Posting Date]])</f>
        <v>8</v>
      </c>
      <c r="K516" t="str">
        <f>IF(Table1[[#This Row],[Type]]="IN",VLOOKUP(Table1[[#This Row],[Cust '#]],ClientInfo!$A:$D,4,0),"")</f>
        <v/>
      </c>
      <c r="L516" s="1" t="str">
        <f>IF(K516="NET30",Table1[[#This Row],[Posting Date]]+30,IF(K516="NET15",Table1[[#This Row],[Posting Date]]+15,IF(K516="COD",Table1[[#This Row],[Posting Date]],"")))</f>
        <v/>
      </c>
      <c r="M516" s="4" t="str">
        <f>IFERROR(IF(Table1[[#This Row],[Type]]="IN",Table1[[#This Row],[RC Date]]-Table1[[#This Row],[Posting Date]],""),"")</f>
        <v/>
      </c>
      <c r="N516">
        <f>IFERROR(IF(Table1[[#This Row],[Balance Due (LC)]]&lt;&gt;0,$S$1-L516,0),"")</f>
        <v>0</v>
      </c>
      <c r="O516" t="str">
        <f>IFERROR(IF(Table1[[#This Row],[Type]]="IN",Table1[[#This Row],[C/D (LC)]],IF(Table1[[#This Row],[Type]]="CN",Table1[[#This Row],[C/D (LC)]],"")),"")</f>
        <v/>
      </c>
      <c r="P516" t="str">
        <f>VLOOKUP(Table1[[#This Row],[Cust '#]],ClientInfo!$A:$B,2,0)</f>
        <v>Client_06</v>
      </c>
    </row>
    <row r="517" spans="1:16">
      <c r="A517" t="s">
        <v>112</v>
      </c>
      <c r="B517" t="s">
        <v>10</v>
      </c>
      <c r="C517">
        <v>700001452</v>
      </c>
      <c r="D517" s="1">
        <v>45530</v>
      </c>
      <c r="E517">
        <v>-1076</v>
      </c>
      <c r="F517">
        <v>0</v>
      </c>
      <c r="G517">
        <v>700001452</v>
      </c>
      <c r="H517" s="1">
        <v>45530</v>
      </c>
      <c r="I517">
        <f>YEAR(Table1[[#This Row],[Posting Date]])</f>
        <v>2024</v>
      </c>
      <c r="J517">
        <f>MONTH(Table1[[#This Row],[Posting Date]])</f>
        <v>8</v>
      </c>
      <c r="K517" t="str">
        <f>IF(Table1[[#This Row],[Type]]="IN",VLOOKUP(Table1[[#This Row],[Cust '#]],ClientInfo!$A:$D,4,0),"")</f>
        <v/>
      </c>
      <c r="L517" s="1" t="str">
        <f>IF(K517="NET30",Table1[[#This Row],[Posting Date]]+30,IF(K517="NET15",Table1[[#This Row],[Posting Date]]+15,IF(K517="COD",Table1[[#This Row],[Posting Date]],"")))</f>
        <v/>
      </c>
      <c r="M517" s="4" t="str">
        <f>IFERROR(IF(Table1[[#This Row],[Type]]="IN",Table1[[#This Row],[RC Date]]-Table1[[#This Row],[Posting Date]],""),"")</f>
        <v/>
      </c>
      <c r="N517">
        <f>IFERROR(IF(Table1[[#This Row],[Balance Due (LC)]]&lt;&gt;0,$S$1-L517,0),"")</f>
        <v>0</v>
      </c>
      <c r="O517" t="str">
        <f>IFERROR(IF(Table1[[#This Row],[Type]]="IN",Table1[[#This Row],[C/D (LC)]],IF(Table1[[#This Row],[Type]]="CN",Table1[[#This Row],[C/D (LC)]],"")),"")</f>
        <v/>
      </c>
      <c r="P517" t="str">
        <f>VLOOKUP(Table1[[#This Row],[Cust '#]],ClientInfo!$A:$B,2,0)</f>
        <v>Client_06</v>
      </c>
    </row>
    <row r="518" spans="1:16">
      <c r="A518" t="s">
        <v>112</v>
      </c>
      <c r="B518" t="s">
        <v>12</v>
      </c>
      <c r="C518">
        <v>140012678</v>
      </c>
      <c r="D518" s="1">
        <v>45533</v>
      </c>
      <c r="E518">
        <v>3789.7</v>
      </c>
      <c r="F518">
        <v>0</v>
      </c>
      <c r="G518">
        <v>700001805</v>
      </c>
      <c r="H518" s="1">
        <v>45580</v>
      </c>
      <c r="I518">
        <f>YEAR(Table1[[#This Row],[Posting Date]])</f>
        <v>2024</v>
      </c>
      <c r="J518">
        <f>MONTH(Table1[[#This Row],[Posting Date]])</f>
        <v>8</v>
      </c>
      <c r="K518" t="str">
        <f>IF(Table1[[#This Row],[Type]]="IN",VLOOKUP(Table1[[#This Row],[Cust '#]],ClientInfo!$A:$D,4,0),"")</f>
        <v>NET30</v>
      </c>
      <c r="L518" s="1">
        <f>IF(K518="NET30",Table1[[#This Row],[Posting Date]]+30,IF(K518="NET15",Table1[[#This Row],[Posting Date]]+15,IF(K518="COD",Table1[[#This Row],[Posting Date]],"")))</f>
        <v>45563</v>
      </c>
      <c r="M518" s="4">
        <f>IFERROR(IF(Table1[[#This Row],[Type]]="IN",Table1[[#This Row],[RC Date]]-Table1[[#This Row],[Posting Date]],""),"")</f>
        <v>47</v>
      </c>
      <c r="N518">
        <f>IFERROR(IF(Table1[[#This Row],[Balance Due (LC)]]&lt;&gt;0,$S$1-L518,0),"")</f>
        <v>0</v>
      </c>
      <c r="O518">
        <f>IFERROR(IF(Table1[[#This Row],[Type]]="IN",Table1[[#This Row],[C/D (LC)]],IF(Table1[[#This Row],[Type]]="CN",Table1[[#This Row],[C/D (LC)]],"")),"")</f>
        <v>3789.7</v>
      </c>
      <c r="P518" t="str">
        <f>VLOOKUP(Table1[[#This Row],[Cust '#]],ClientInfo!$A:$B,2,0)</f>
        <v>Client_06</v>
      </c>
    </row>
    <row r="519" spans="1:16">
      <c r="A519" t="s">
        <v>112</v>
      </c>
      <c r="B519" t="s">
        <v>10</v>
      </c>
      <c r="C519">
        <v>700001498</v>
      </c>
      <c r="D519" s="1">
        <v>45540</v>
      </c>
      <c r="E519">
        <v>-3566.71</v>
      </c>
      <c r="F519">
        <v>0</v>
      </c>
      <c r="G519">
        <v>700001498</v>
      </c>
      <c r="H519" s="1">
        <v>45540</v>
      </c>
      <c r="I519">
        <f>YEAR(Table1[[#This Row],[Posting Date]])</f>
        <v>2024</v>
      </c>
      <c r="J519">
        <f>MONTH(Table1[[#This Row],[Posting Date]])</f>
        <v>9</v>
      </c>
      <c r="K519" t="str">
        <f>IF(Table1[[#This Row],[Type]]="IN",VLOOKUP(Table1[[#This Row],[Cust '#]],ClientInfo!$A:$D,4,0),"")</f>
        <v/>
      </c>
      <c r="L519" s="1" t="str">
        <f>IF(K519="NET30",Table1[[#This Row],[Posting Date]]+30,IF(K519="NET15",Table1[[#This Row],[Posting Date]]+15,IF(K519="COD",Table1[[#This Row],[Posting Date]],"")))</f>
        <v/>
      </c>
      <c r="M519" s="4" t="str">
        <f>IFERROR(IF(Table1[[#This Row],[Type]]="IN",Table1[[#This Row],[RC Date]]-Table1[[#This Row],[Posting Date]],""),"")</f>
        <v/>
      </c>
      <c r="N519">
        <f>IFERROR(IF(Table1[[#This Row],[Balance Due (LC)]]&lt;&gt;0,$S$1-L519,0),"")</f>
        <v>0</v>
      </c>
      <c r="O519" t="str">
        <f>IFERROR(IF(Table1[[#This Row],[Type]]="IN",Table1[[#This Row],[C/D (LC)]],IF(Table1[[#This Row],[Type]]="CN",Table1[[#This Row],[C/D (LC)]],"")),"")</f>
        <v/>
      </c>
      <c r="P519" t="str">
        <f>VLOOKUP(Table1[[#This Row],[Cust '#]],ClientInfo!$A:$B,2,0)</f>
        <v>Client_06</v>
      </c>
    </row>
    <row r="520" spans="1:16">
      <c r="A520" t="s">
        <v>112</v>
      </c>
      <c r="B520" t="s">
        <v>12</v>
      </c>
      <c r="C520">
        <v>140013348</v>
      </c>
      <c r="D520" s="1">
        <v>45547</v>
      </c>
      <c r="E520">
        <v>2372</v>
      </c>
      <c r="F520">
        <v>0</v>
      </c>
      <c r="G520">
        <v>700001896</v>
      </c>
      <c r="H520" s="1">
        <v>45590</v>
      </c>
      <c r="I520">
        <f>YEAR(Table1[[#This Row],[Posting Date]])</f>
        <v>2024</v>
      </c>
      <c r="J520">
        <f>MONTH(Table1[[#This Row],[Posting Date]])</f>
        <v>9</v>
      </c>
      <c r="K520" t="str">
        <f>IF(Table1[[#This Row],[Type]]="IN",VLOOKUP(Table1[[#This Row],[Cust '#]],ClientInfo!$A:$D,4,0),"")</f>
        <v>NET30</v>
      </c>
      <c r="L520" s="1">
        <f>IF(K520="NET30",Table1[[#This Row],[Posting Date]]+30,IF(K520="NET15",Table1[[#This Row],[Posting Date]]+15,IF(K520="COD",Table1[[#This Row],[Posting Date]],"")))</f>
        <v>45577</v>
      </c>
      <c r="M520" s="4">
        <f>IFERROR(IF(Table1[[#This Row],[Type]]="IN",Table1[[#This Row],[RC Date]]-Table1[[#This Row],[Posting Date]],""),"")</f>
        <v>43</v>
      </c>
      <c r="N520">
        <f>IFERROR(IF(Table1[[#This Row],[Balance Due (LC)]]&lt;&gt;0,$S$1-L520,0),"")</f>
        <v>0</v>
      </c>
      <c r="O520">
        <f>IFERROR(IF(Table1[[#This Row],[Type]]="IN",Table1[[#This Row],[C/D (LC)]],IF(Table1[[#This Row],[Type]]="CN",Table1[[#This Row],[C/D (LC)]],"")),"")</f>
        <v>2372</v>
      </c>
      <c r="P520" t="str">
        <f>VLOOKUP(Table1[[#This Row],[Cust '#]],ClientInfo!$A:$B,2,0)</f>
        <v>Client_06</v>
      </c>
    </row>
    <row r="521" spans="1:16">
      <c r="A521" t="s">
        <v>112</v>
      </c>
      <c r="B521" t="s">
        <v>10</v>
      </c>
      <c r="C521">
        <v>700001588</v>
      </c>
      <c r="D521" s="1">
        <v>45551</v>
      </c>
      <c r="E521">
        <v>-3491.12</v>
      </c>
      <c r="F521">
        <v>0</v>
      </c>
      <c r="G521">
        <v>700001588</v>
      </c>
      <c r="H521" s="1">
        <v>45551</v>
      </c>
      <c r="I521">
        <f>YEAR(Table1[[#This Row],[Posting Date]])</f>
        <v>2024</v>
      </c>
      <c r="J521">
        <f>MONTH(Table1[[#This Row],[Posting Date]])</f>
        <v>9</v>
      </c>
      <c r="K521" t="str">
        <f>IF(Table1[[#This Row],[Type]]="IN",VLOOKUP(Table1[[#This Row],[Cust '#]],ClientInfo!$A:$D,4,0),"")</f>
        <v/>
      </c>
      <c r="L521" s="1" t="str">
        <f>IF(K521="NET30",Table1[[#This Row],[Posting Date]]+30,IF(K521="NET15",Table1[[#This Row],[Posting Date]]+15,IF(K521="COD",Table1[[#This Row],[Posting Date]],"")))</f>
        <v/>
      </c>
      <c r="M521" s="4" t="str">
        <f>IFERROR(IF(Table1[[#This Row],[Type]]="IN",Table1[[#This Row],[RC Date]]-Table1[[#This Row],[Posting Date]],""),"")</f>
        <v/>
      </c>
      <c r="N521">
        <f>IFERROR(IF(Table1[[#This Row],[Balance Due (LC)]]&lt;&gt;0,$S$1-L521,0),"")</f>
        <v>0</v>
      </c>
      <c r="O521" t="str">
        <f>IFERROR(IF(Table1[[#This Row],[Type]]="IN",Table1[[#This Row],[C/D (LC)]],IF(Table1[[#This Row],[Type]]="CN",Table1[[#This Row],[C/D (LC)]],"")),"")</f>
        <v/>
      </c>
      <c r="P521" t="str">
        <f>VLOOKUP(Table1[[#This Row],[Cust '#]],ClientInfo!$A:$B,2,0)</f>
        <v>Client_06</v>
      </c>
    </row>
    <row r="522" spans="1:16">
      <c r="A522" t="s">
        <v>112</v>
      </c>
      <c r="B522" t="s">
        <v>10</v>
      </c>
      <c r="C522">
        <v>700001652</v>
      </c>
      <c r="D522" s="1">
        <v>45558</v>
      </c>
      <c r="E522">
        <v>-2207.84</v>
      </c>
      <c r="F522">
        <v>0</v>
      </c>
      <c r="G522">
        <v>700001652</v>
      </c>
      <c r="H522" s="1">
        <v>45558</v>
      </c>
      <c r="I522">
        <f>YEAR(Table1[[#This Row],[Posting Date]])</f>
        <v>2024</v>
      </c>
      <c r="J522">
        <f>MONTH(Table1[[#This Row],[Posting Date]])</f>
        <v>9</v>
      </c>
      <c r="K522" t="str">
        <f>IF(Table1[[#This Row],[Type]]="IN",VLOOKUP(Table1[[#This Row],[Cust '#]],ClientInfo!$A:$D,4,0),"")</f>
        <v/>
      </c>
      <c r="L522" s="1" t="str">
        <f>IF(K522="NET30",Table1[[#This Row],[Posting Date]]+30,IF(K522="NET15",Table1[[#This Row],[Posting Date]]+15,IF(K522="COD",Table1[[#This Row],[Posting Date]],"")))</f>
        <v/>
      </c>
      <c r="M522" s="4" t="str">
        <f>IFERROR(IF(Table1[[#This Row],[Type]]="IN",Table1[[#This Row],[RC Date]]-Table1[[#This Row],[Posting Date]],""),"")</f>
        <v/>
      </c>
      <c r="N522">
        <f>IFERROR(IF(Table1[[#This Row],[Balance Due (LC)]]&lt;&gt;0,$S$1-L522,0),"")</f>
        <v>0</v>
      </c>
      <c r="O522" t="str">
        <f>IFERROR(IF(Table1[[#This Row],[Type]]="IN",Table1[[#This Row],[C/D (LC)]],IF(Table1[[#This Row],[Type]]="CN",Table1[[#This Row],[C/D (LC)]],"")),"")</f>
        <v/>
      </c>
      <c r="P522" t="str">
        <f>VLOOKUP(Table1[[#This Row],[Cust '#]],ClientInfo!$A:$B,2,0)</f>
        <v>Client_06</v>
      </c>
    </row>
    <row r="523" spans="1:16">
      <c r="A523" t="s">
        <v>112</v>
      </c>
      <c r="B523" t="s">
        <v>11</v>
      </c>
      <c r="C523">
        <v>860057091</v>
      </c>
      <c r="D523" s="1">
        <v>45558</v>
      </c>
      <c r="E523">
        <v>-0.4</v>
      </c>
      <c r="F523">
        <v>0</v>
      </c>
      <c r="G523">
        <v>860057091</v>
      </c>
      <c r="H523" s="1">
        <v>45558</v>
      </c>
      <c r="I523">
        <f>YEAR(Table1[[#This Row],[Posting Date]])</f>
        <v>2024</v>
      </c>
      <c r="J523">
        <f>MONTH(Table1[[#This Row],[Posting Date]])</f>
        <v>9</v>
      </c>
      <c r="K523" t="str">
        <f>IF(Table1[[#This Row],[Type]]="IN",VLOOKUP(Table1[[#This Row],[Cust '#]],ClientInfo!$A:$D,4,0),"")</f>
        <v/>
      </c>
      <c r="L523" s="1" t="str">
        <f>IF(K523="NET30",Table1[[#This Row],[Posting Date]]+30,IF(K523="NET15",Table1[[#This Row],[Posting Date]]+15,IF(K523="COD",Table1[[#This Row],[Posting Date]],"")))</f>
        <v/>
      </c>
      <c r="M523" s="4" t="str">
        <f>IFERROR(IF(Table1[[#This Row],[Type]]="IN",Table1[[#This Row],[RC Date]]-Table1[[#This Row],[Posting Date]],""),"")</f>
        <v/>
      </c>
      <c r="N523">
        <f>IFERROR(IF(Table1[[#This Row],[Balance Due (LC)]]&lt;&gt;0,$S$1-L523,0),"")</f>
        <v>0</v>
      </c>
      <c r="O523" t="str">
        <f>IFERROR(IF(Table1[[#This Row],[Type]]="IN",Table1[[#This Row],[C/D (LC)]],IF(Table1[[#This Row],[Type]]="CN",Table1[[#This Row],[C/D (LC)]],"")),"")</f>
        <v/>
      </c>
      <c r="P523" t="str">
        <f>VLOOKUP(Table1[[#This Row],[Cust '#]],ClientInfo!$A:$B,2,0)</f>
        <v>Client_06</v>
      </c>
    </row>
    <row r="524" spans="1:16">
      <c r="A524" t="s">
        <v>112</v>
      </c>
      <c r="B524" t="s">
        <v>12</v>
      </c>
      <c r="C524">
        <v>140014002</v>
      </c>
      <c r="D524" s="1">
        <v>45561</v>
      </c>
      <c r="E524">
        <v>3149.31</v>
      </c>
      <c r="F524">
        <v>0</v>
      </c>
      <c r="G524">
        <v>700001986</v>
      </c>
      <c r="H524" s="1">
        <v>45604</v>
      </c>
      <c r="I524">
        <f>YEAR(Table1[[#This Row],[Posting Date]])</f>
        <v>2024</v>
      </c>
      <c r="J524">
        <f>MONTH(Table1[[#This Row],[Posting Date]])</f>
        <v>9</v>
      </c>
      <c r="K524" t="str">
        <f>IF(Table1[[#This Row],[Type]]="IN",VLOOKUP(Table1[[#This Row],[Cust '#]],ClientInfo!$A:$D,4,0),"")</f>
        <v>NET30</v>
      </c>
      <c r="L524" s="1">
        <f>IF(K524="NET30",Table1[[#This Row],[Posting Date]]+30,IF(K524="NET15",Table1[[#This Row],[Posting Date]]+15,IF(K524="COD",Table1[[#This Row],[Posting Date]],"")))</f>
        <v>45591</v>
      </c>
      <c r="M524" s="4">
        <f>IFERROR(IF(Table1[[#This Row],[Type]]="IN",Table1[[#This Row],[RC Date]]-Table1[[#This Row],[Posting Date]],""),"")</f>
        <v>43</v>
      </c>
      <c r="N524">
        <f>IFERROR(IF(Table1[[#This Row],[Balance Due (LC)]]&lt;&gt;0,$S$1-L524,0),"")</f>
        <v>0</v>
      </c>
      <c r="O524">
        <f>IFERROR(IF(Table1[[#This Row],[Type]]="IN",Table1[[#This Row],[C/D (LC)]],IF(Table1[[#This Row],[Type]]="CN",Table1[[#This Row],[C/D (LC)]],"")),"")</f>
        <v>3149.31</v>
      </c>
      <c r="P524" t="str">
        <f>VLOOKUP(Table1[[#This Row],[Cust '#]],ClientInfo!$A:$B,2,0)</f>
        <v>Client_06</v>
      </c>
    </row>
    <row r="525" spans="1:16">
      <c r="A525" t="s">
        <v>112</v>
      </c>
      <c r="B525" t="s">
        <v>13</v>
      </c>
      <c r="C525">
        <v>150000620</v>
      </c>
      <c r="D525" s="1">
        <v>45563</v>
      </c>
      <c r="E525">
        <v>-24</v>
      </c>
      <c r="F525">
        <v>0</v>
      </c>
      <c r="G525">
        <v>700001805</v>
      </c>
      <c r="H525" s="1">
        <v>45580</v>
      </c>
      <c r="I525">
        <f>YEAR(Table1[[#This Row],[Posting Date]])</f>
        <v>2024</v>
      </c>
      <c r="J525">
        <f>MONTH(Table1[[#This Row],[Posting Date]])</f>
        <v>9</v>
      </c>
      <c r="K525" t="str">
        <f>IF(Table1[[#This Row],[Type]]="IN",VLOOKUP(Table1[[#This Row],[Cust '#]],ClientInfo!$A:$D,4,0),"")</f>
        <v/>
      </c>
      <c r="L525" s="1" t="str">
        <f>IF(K525="NET30",Table1[[#This Row],[Posting Date]]+30,IF(K525="NET15",Table1[[#This Row],[Posting Date]]+15,IF(K525="COD",Table1[[#This Row],[Posting Date]],"")))</f>
        <v/>
      </c>
      <c r="M525" s="4" t="str">
        <f>IFERROR(IF(Table1[[#This Row],[Type]]="IN",Table1[[#This Row],[RC Date]]-Table1[[#This Row],[Posting Date]],""),"")</f>
        <v/>
      </c>
      <c r="N525">
        <f>IFERROR(IF(Table1[[#This Row],[Balance Due (LC)]]&lt;&gt;0,$S$1-L525,0),"")</f>
        <v>0</v>
      </c>
      <c r="O525">
        <f>IFERROR(IF(Table1[[#This Row],[Type]]="IN",Table1[[#This Row],[C/D (LC)]],IF(Table1[[#This Row],[Type]]="CN",Table1[[#This Row],[C/D (LC)]],"")),"")</f>
        <v>-24</v>
      </c>
      <c r="P525" t="str">
        <f>VLOOKUP(Table1[[#This Row],[Cust '#]],ClientInfo!$A:$B,2,0)</f>
        <v>Client_06</v>
      </c>
    </row>
    <row r="526" spans="1:16">
      <c r="A526" t="s">
        <v>112</v>
      </c>
      <c r="B526" t="s">
        <v>12</v>
      </c>
      <c r="C526">
        <v>140014683</v>
      </c>
      <c r="D526" s="1">
        <v>45575</v>
      </c>
      <c r="E526">
        <v>2553.63</v>
      </c>
      <c r="F526">
        <v>0</v>
      </c>
      <c r="G526">
        <v>700002092</v>
      </c>
      <c r="H526" s="1">
        <v>45621</v>
      </c>
      <c r="I526">
        <f>YEAR(Table1[[#This Row],[Posting Date]])</f>
        <v>2024</v>
      </c>
      <c r="J526">
        <f>MONTH(Table1[[#This Row],[Posting Date]])</f>
        <v>10</v>
      </c>
      <c r="K526" t="str">
        <f>IF(Table1[[#This Row],[Type]]="IN",VLOOKUP(Table1[[#This Row],[Cust '#]],ClientInfo!$A:$D,4,0),"")</f>
        <v>NET30</v>
      </c>
      <c r="L526" s="1">
        <f>IF(K526="NET30",Table1[[#This Row],[Posting Date]]+30,IF(K526="NET15",Table1[[#This Row],[Posting Date]]+15,IF(K526="COD",Table1[[#This Row],[Posting Date]],"")))</f>
        <v>45605</v>
      </c>
      <c r="M526" s="4">
        <f>IFERROR(IF(Table1[[#This Row],[Type]]="IN",Table1[[#This Row],[RC Date]]-Table1[[#This Row],[Posting Date]],""),"")</f>
        <v>46</v>
      </c>
      <c r="N526">
        <f>IFERROR(IF(Table1[[#This Row],[Balance Due (LC)]]&lt;&gt;0,$S$1-L526,0),"")</f>
        <v>0</v>
      </c>
      <c r="O526">
        <f>IFERROR(IF(Table1[[#This Row],[Type]]="IN",Table1[[#This Row],[C/D (LC)]],IF(Table1[[#This Row],[Type]]="CN",Table1[[#This Row],[C/D (LC)]],"")),"")</f>
        <v>2553.63</v>
      </c>
      <c r="P526" t="str">
        <f>VLOOKUP(Table1[[#This Row],[Cust '#]],ClientInfo!$A:$B,2,0)</f>
        <v>Client_06</v>
      </c>
    </row>
    <row r="527" spans="1:16">
      <c r="A527" t="s">
        <v>112</v>
      </c>
      <c r="B527" t="s">
        <v>10</v>
      </c>
      <c r="C527">
        <v>700001805</v>
      </c>
      <c r="D527" s="1">
        <v>45580</v>
      </c>
      <c r="E527">
        <v>-3765.7</v>
      </c>
      <c r="F527">
        <v>0</v>
      </c>
      <c r="G527">
        <v>700001805</v>
      </c>
      <c r="H527" s="1">
        <v>45580</v>
      </c>
      <c r="I527">
        <f>YEAR(Table1[[#This Row],[Posting Date]])</f>
        <v>2024</v>
      </c>
      <c r="J527">
        <f>MONTH(Table1[[#This Row],[Posting Date]])</f>
        <v>10</v>
      </c>
      <c r="K527" t="str">
        <f>IF(Table1[[#This Row],[Type]]="IN",VLOOKUP(Table1[[#This Row],[Cust '#]],ClientInfo!$A:$D,4,0),"")</f>
        <v/>
      </c>
      <c r="L527" s="1" t="str">
        <f>IF(K527="NET30",Table1[[#This Row],[Posting Date]]+30,IF(K527="NET15",Table1[[#This Row],[Posting Date]]+15,IF(K527="COD",Table1[[#This Row],[Posting Date]],"")))</f>
        <v/>
      </c>
      <c r="M527" s="4" t="str">
        <f>IFERROR(IF(Table1[[#This Row],[Type]]="IN",Table1[[#This Row],[RC Date]]-Table1[[#This Row],[Posting Date]],""),"")</f>
        <v/>
      </c>
      <c r="N527">
        <f>IFERROR(IF(Table1[[#This Row],[Balance Due (LC)]]&lt;&gt;0,$S$1-L527,0),"")</f>
        <v>0</v>
      </c>
      <c r="O527" t="str">
        <f>IFERROR(IF(Table1[[#This Row],[Type]]="IN",Table1[[#This Row],[C/D (LC)]],IF(Table1[[#This Row],[Type]]="CN",Table1[[#This Row],[C/D (LC)]],"")),"")</f>
        <v/>
      </c>
      <c r="P527" t="str">
        <f>VLOOKUP(Table1[[#This Row],[Cust '#]],ClientInfo!$A:$B,2,0)</f>
        <v>Client_06</v>
      </c>
    </row>
    <row r="528" spans="1:16">
      <c r="A528" t="s">
        <v>112</v>
      </c>
      <c r="B528" t="s">
        <v>12</v>
      </c>
      <c r="C528">
        <v>140015343</v>
      </c>
      <c r="D528" s="1">
        <v>45589</v>
      </c>
      <c r="E528">
        <v>2351.35</v>
      </c>
      <c r="F528">
        <v>0</v>
      </c>
      <c r="G528">
        <v>700002218</v>
      </c>
      <c r="H528" s="1">
        <v>45635</v>
      </c>
      <c r="I528">
        <f>YEAR(Table1[[#This Row],[Posting Date]])</f>
        <v>2024</v>
      </c>
      <c r="J528">
        <f>MONTH(Table1[[#This Row],[Posting Date]])</f>
        <v>10</v>
      </c>
      <c r="K528" t="str">
        <f>IF(Table1[[#This Row],[Type]]="IN",VLOOKUP(Table1[[#This Row],[Cust '#]],ClientInfo!$A:$D,4,0),"")</f>
        <v>NET30</v>
      </c>
      <c r="L528" s="1">
        <f>IF(K528="NET30",Table1[[#This Row],[Posting Date]]+30,IF(K528="NET15",Table1[[#This Row],[Posting Date]]+15,IF(K528="COD",Table1[[#This Row],[Posting Date]],"")))</f>
        <v>45619</v>
      </c>
      <c r="M528" s="4">
        <f>IFERROR(IF(Table1[[#This Row],[Type]]="IN",Table1[[#This Row],[RC Date]]-Table1[[#This Row],[Posting Date]],""),"")</f>
        <v>46</v>
      </c>
      <c r="N528">
        <f>IFERROR(IF(Table1[[#This Row],[Balance Due (LC)]]&lt;&gt;0,$S$1-L528,0),"")</f>
        <v>0</v>
      </c>
      <c r="O528">
        <f>IFERROR(IF(Table1[[#This Row],[Type]]="IN",Table1[[#This Row],[C/D (LC)]],IF(Table1[[#This Row],[Type]]="CN",Table1[[#This Row],[C/D (LC)]],"")),"")</f>
        <v>2351.35</v>
      </c>
      <c r="P528" t="str">
        <f>VLOOKUP(Table1[[#This Row],[Cust '#]],ClientInfo!$A:$B,2,0)</f>
        <v>Client_06</v>
      </c>
    </row>
    <row r="529" spans="1:16">
      <c r="A529" t="s">
        <v>112</v>
      </c>
      <c r="B529" t="s">
        <v>10</v>
      </c>
      <c r="C529">
        <v>700001896</v>
      </c>
      <c r="D529" s="1">
        <v>45590</v>
      </c>
      <c r="E529">
        <v>-2372</v>
      </c>
      <c r="F529">
        <v>0</v>
      </c>
      <c r="G529">
        <v>700001896</v>
      </c>
      <c r="H529" s="1">
        <v>45590</v>
      </c>
      <c r="I529">
        <f>YEAR(Table1[[#This Row],[Posting Date]])</f>
        <v>2024</v>
      </c>
      <c r="J529">
        <f>MONTH(Table1[[#This Row],[Posting Date]])</f>
        <v>10</v>
      </c>
      <c r="K529" t="str">
        <f>IF(Table1[[#This Row],[Type]]="IN",VLOOKUP(Table1[[#This Row],[Cust '#]],ClientInfo!$A:$D,4,0),"")</f>
        <v/>
      </c>
      <c r="L529" s="1" t="str">
        <f>IF(K529="NET30",Table1[[#This Row],[Posting Date]]+30,IF(K529="NET15",Table1[[#This Row],[Posting Date]]+15,IF(K529="COD",Table1[[#This Row],[Posting Date]],"")))</f>
        <v/>
      </c>
      <c r="M529" s="4" t="str">
        <f>IFERROR(IF(Table1[[#This Row],[Type]]="IN",Table1[[#This Row],[RC Date]]-Table1[[#This Row],[Posting Date]],""),"")</f>
        <v/>
      </c>
      <c r="N529">
        <f>IFERROR(IF(Table1[[#This Row],[Balance Due (LC)]]&lt;&gt;0,$S$1-L529,0),"")</f>
        <v>0</v>
      </c>
      <c r="O529" t="str">
        <f>IFERROR(IF(Table1[[#This Row],[Type]]="IN",Table1[[#This Row],[C/D (LC)]],IF(Table1[[#This Row],[Type]]="CN",Table1[[#This Row],[C/D (LC)]],"")),"")</f>
        <v/>
      </c>
      <c r="P529" t="str">
        <f>VLOOKUP(Table1[[#This Row],[Cust '#]],ClientInfo!$A:$B,2,0)</f>
        <v>Client_06</v>
      </c>
    </row>
    <row r="530" spans="1:16">
      <c r="A530" t="s">
        <v>112</v>
      </c>
      <c r="B530" t="s">
        <v>13</v>
      </c>
      <c r="C530">
        <v>150000661</v>
      </c>
      <c r="D530" s="1">
        <v>45594</v>
      </c>
      <c r="E530">
        <v>-4.5</v>
      </c>
      <c r="F530">
        <v>0</v>
      </c>
      <c r="G530">
        <v>140013348</v>
      </c>
      <c r="H530" s="1">
        <v>45547</v>
      </c>
      <c r="I530">
        <f>YEAR(Table1[[#This Row],[Posting Date]])</f>
        <v>2024</v>
      </c>
      <c r="J530">
        <f>MONTH(Table1[[#This Row],[Posting Date]])</f>
        <v>10</v>
      </c>
      <c r="K530" t="str">
        <f>IF(Table1[[#This Row],[Type]]="IN",VLOOKUP(Table1[[#This Row],[Cust '#]],ClientInfo!$A:$D,4,0),"")</f>
        <v/>
      </c>
      <c r="L530" s="1" t="str">
        <f>IF(K530="NET30",Table1[[#This Row],[Posting Date]]+30,IF(K530="NET15",Table1[[#This Row],[Posting Date]]+15,IF(K530="COD",Table1[[#This Row],[Posting Date]],"")))</f>
        <v/>
      </c>
      <c r="M530" s="4" t="str">
        <f>IFERROR(IF(Table1[[#This Row],[Type]]="IN",Table1[[#This Row],[RC Date]]-Table1[[#This Row],[Posting Date]],""),"")</f>
        <v/>
      </c>
      <c r="N530">
        <f>IFERROR(IF(Table1[[#This Row],[Balance Due (LC)]]&lt;&gt;0,$S$1-L530,0),"")</f>
        <v>0</v>
      </c>
      <c r="O530">
        <f>IFERROR(IF(Table1[[#This Row],[Type]]="IN",Table1[[#This Row],[C/D (LC)]],IF(Table1[[#This Row],[Type]]="CN",Table1[[#This Row],[C/D (LC)]],"")),"")</f>
        <v>-4.5</v>
      </c>
      <c r="P530" t="str">
        <f>VLOOKUP(Table1[[#This Row],[Cust '#]],ClientInfo!$A:$B,2,0)</f>
        <v>Client_06</v>
      </c>
    </row>
    <row r="531" spans="1:16">
      <c r="A531" t="s">
        <v>112</v>
      </c>
      <c r="B531" t="s">
        <v>13</v>
      </c>
      <c r="C531">
        <v>150000681</v>
      </c>
      <c r="D531" s="1">
        <v>45596</v>
      </c>
      <c r="E531">
        <v>-76.8</v>
      </c>
      <c r="F531">
        <v>0</v>
      </c>
      <c r="G531">
        <v>700002267</v>
      </c>
      <c r="H531" s="1">
        <v>45639</v>
      </c>
      <c r="I531">
        <f>YEAR(Table1[[#This Row],[Posting Date]])</f>
        <v>2024</v>
      </c>
      <c r="J531">
        <f>MONTH(Table1[[#This Row],[Posting Date]])</f>
        <v>10</v>
      </c>
      <c r="K531" t="str">
        <f>IF(Table1[[#This Row],[Type]]="IN",VLOOKUP(Table1[[#This Row],[Cust '#]],ClientInfo!$A:$D,4,0),"")</f>
        <v/>
      </c>
      <c r="L531" s="1" t="str">
        <f>IF(K531="NET30",Table1[[#This Row],[Posting Date]]+30,IF(K531="NET15",Table1[[#This Row],[Posting Date]]+15,IF(K531="COD",Table1[[#This Row],[Posting Date]],"")))</f>
        <v/>
      </c>
      <c r="M531" s="4" t="str">
        <f>IFERROR(IF(Table1[[#This Row],[Type]]="IN",Table1[[#This Row],[RC Date]]-Table1[[#This Row],[Posting Date]],""),"")</f>
        <v/>
      </c>
      <c r="N531">
        <f>IFERROR(IF(Table1[[#This Row],[Balance Due (LC)]]&lt;&gt;0,$S$1-L531,0),"")</f>
        <v>0</v>
      </c>
      <c r="O531">
        <f>IFERROR(IF(Table1[[#This Row],[Type]]="IN",Table1[[#This Row],[C/D (LC)]],IF(Table1[[#This Row],[Type]]="CN",Table1[[#This Row],[C/D (LC)]],"")),"")</f>
        <v>-76.8</v>
      </c>
      <c r="P531" t="str">
        <f>VLOOKUP(Table1[[#This Row],[Cust '#]],ClientInfo!$A:$B,2,0)</f>
        <v>Client_06</v>
      </c>
    </row>
    <row r="532" spans="1:16">
      <c r="A532" t="s">
        <v>112</v>
      </c>
      <c r="B532" t="s">
        <v>12</v>
      </c>
      <c r="C532">
        <v>140016022</v>
      </c>
      <c r="D532" s="1">
        <v>45603</v>
      </c>
      <c r="E532">
        <v>3496.85</v>
      </c>
      <c r="F532">
        <v>0</v>
      </c>
      <c r="G532">
        <v>700002267</v>
      </c>
      <c r="H532" s="1">
        <v>45639</v>
      </c>
      <c r="I532">
        <f>YEAR(Table1[[#This Row],[Posting Date]])</f>
        <v>2024</v>
      </c>
      <c r="J532">
        <f>MONTH(Table1[[#This Row],[Posting Date]])</f>
        <v>11</v>
      </c>
      <c r="K532" t="str">
        <f>IF(Table1[[#This Row],[Type]]="IN",VLOOKUP(Table1[[#This Row],[Cust '#]],ClientInfo!$A:$D,4,0),"")</f>
        <v>NET30</v>
      </c>
      <c r="L532" s="1">
        <f>IF(K532="NET30",Table1[[#This Row],[Posting Date]]+30,IF(K532="NET15",Table1[[#This Row],[Posting Date]]+15,IF(K532="COD",Table1[[#This Row],[Posting Date]],"")))</f>
        <v>45633</v>
      </c>
      <c r="M532" s="4">
        <f>IFERROR(IF(Table1[[#This Row],[Type]]="IN",Table1[[#This Row],[RC Date]]-Table1[[#This Row],[Posting Date]],""),"")</f>
        <v>36</v>
      </c>
      <c r="N532">
        <f>IFERROR(IF(Table1[[#This Row],[Balance Due (LC)]]&lt;&gt;0,$S$1-L532,0),"")</f>
        <v>0</v>
      </c>
      <c r="O532">
        <f>IFERROR(IF(Table1[[#This Row],[Type]]="IN",Table1[[#This Row],[C/D (LC)]],IF(Table1[[#This Row],[Type]]="CN",Table1[[#This Row],[C/D (LC)]],"")),"")</f>
        <v>3496.85</v>
      </c>
      <c r="P532" t="str">
        <f>VLOOKUP(Table1[[#This Row],[Cust '#]],ClientInfo!$A:$B,2,0)</f>
        <v>Client_06</v>
      </c>
    </row>
    <row r="533" spans="1:16">
      <c r="A533" t="s">
        <v>112</v>
      </c>
      <c r="B533" t="s">
        <v>10</v>
      </c>
      <c r="C533">
        <v>700001986</v>
      </c>
      <c r="D533" s="1">
        <v>45604</v>
      </c>
      <c r="E533">
        <v>-3149.31</v>
      </c>
      <c r="F533">
        <v>0</v>
      </c>
      <c r="G533">
        <v>700001986</v>
      </c>
      <c r="H533" s="1">
        <v>45604</v>
      </c>
      <c r="I533">
        <f>YEAR(Table1[[#This Row],[Posting Date]])</f>
        <v>2024</v>
      </c>
      <c r="J533">
        <f>MONTH(Table1[[#This Row],[Posting Date]])</f>
        <v>11</v>
      </c>
      <c r="K533" t="str">
        <f>IF(Table1[[#This Row],[Type]]="IN",VLOOKUP(Table1[[#This Row],[Cust '#]],ClientInfo!$A:$D,4,0),"")</f>
        <v/>
      </c>
      <c r="L533" s="1" t="str">
        <f>IF(K533="NET30",Table1[[#This Row],[Posting Date]]+30,IF(K533="NET15",Table1[[#This Row],[Posting Date]]+15,IF(K533="COD",Table1[[#This Row],[Posting Date]],"")))</f>
        <v/>
      </c>
      <c r="M533" s="4" t="str">
        <f>IFERROR(IF(Table1[[#This Row],[Type]]="IN",Table1[[#This Row],[RC Date]]-Table1[[#This Row],[Posting Date]],""),"")</f>
        <v/>
      </c>
      <c r="N533">
        <f>IFERROR(IF(Table1[[#This Row],[Balance Due (LC)]]&lt;&gt;0,$S$1-L533,0),"")</f>
        <v>0</v>
      </c>
      <c r="O533" t="str">
        <f>IFERROR(IF(Table1[[#This Row],[Type]]="IN",Table1[[#This Row],[C/D (LC)]],IF(Table1[[#This Row],[Type]]="CN",Table1[[#This Row],[C/D (LC)]],"")),"")</f>
        <v/>
      </c>
      <c r="P533" t="str">
        <f>VLOOKUP(Table1[[#This Row],[Cust '#]],ClientInfo!$A:$B,2,0)</f>
        <v>Client_06</v>
      </c>
    </row>
    <row r="534" spans="1:16">
      <c r="A534" t="s">
        <v>112</v>
      </c>
      <c r="B534" t="s">
        <v>12</v>
      </c>
      <c r="C534">
        <v>140016720</v>
      </c>
      <c r="D534" s="1">
        <v>45617</v>
      </c>
      <c r="E534">
        <v>3957.45</v>
      </c>
      <c r="F534">
        <v>0</v>
      </c>
      <c r="G534">
        <v>700002348</v>
      </c>
      <c r="H534" s="1">
        <v>45650</v>
      </c>
      <c r="I534">
        <f>YEAR(Table1[[#This Row],[Posting Date]])</f>
        <v>2024</v>
      </c>
      <c r="J534">
        <f>MONTH(Table1[[#This Row],[Posting Date]])</f>
        <v>11</v>
      </c>
      <c r="K534" t="str">
        <f>IF(Table1[[#This Row],[Type]]="IN",VLOOKUP(Table1[[#This Row],[Cust '#]],ClientInfo!$A:$D,4,0),"")</f>
        <v>NET30</v>
      </c>
      <c r="L534" s="1">
        <f>IF(K534="NET30",Table1[[#This Row],[Posting Date]]+30,IF(K534="NET15",Table1[[#This Row],[Posting Date]]+15,IF(K534="COD",Table1[[#This Row],[Posting Date]],"")))</f>
        <v>45647</v>
      </c>
      <c r="M534" s="4">
        <f>IFERROR(IF(Table1[[#This Row],[Type]]="IN",Table1[[#This Row],[RC Date]]-Table1[[#This Row],[Posting Date]],""),"")</f>
        <v>33</v>
      </c>
      <c r="N534">
        <f>IFERROR(IF(Table1[[#This Row],[Balance Due (LC)]]&lt;&gt;0,$S$1-L534,0),"")</f>
        <v>0</v>
      </c>
      <c r="O534">
        <f>IFERROR(IF(Table1[[#This Row],[Type]]="IN",Table1[[#This Row],[C/D (LC)]],IF(Table1[[#This Row],[Type]]="CN",Table1[[#This Row],[C/D (LC)]],"")),"")</f>
        <v>3957.45</v>
      </c>
      <c r="P534" t="str">
        <f>VLOOKUP(Table1[[#This Row],[Cust '#]],ClientInfo!$A:$B,2,0)</f>
        <v>Client_06</v>
      </c>
    </row>
    <row r="535" spans="1:16">
      <c r="A535" t="s">
        <v>112</v>
      </c>
      <c r="B535" t="s">
        <v>10</v>
      </c>
      <c r="C535">
        <v>700002092</v>
      </c>
      <c r="D535" s="1">
        <v>45621</v>
      </c>
      <c r="E535">
        <v>-2553.63</v>
      </c>
      <c r="F535">
        <v>0</v>
      </c>
      <c r="G535">
        <v>700002092</v>
      </c>
      <c r="H535" s="1">
        <v>45621</v>
      </c>
      <c r="I535">
        <f>YEAR(Table1[[#This Row],[Posting Date]])</f>
        <v>2024</v>
      </c>
      <c r="J535">
        <f>MONTH(Table1[[#This Row],[Posting Date]])</f>
        <v>11</v>
      </c>
      <c r="K535" t="str">
        <f>IF(Table1[[#This Row],[Type]]="IN",VLOOKUP(Table1[[#This Row],[Cust '#]],ClientInfo!$A:$D,4,0),"")</f>
        <v/>
      </c>
      <c r="L535" s="1" t="str">
        <f>IF(K535="NET30",Table1[[#This Row],[Posting Date]]+30,IF(K535="NET15",Table1[[#This Row],[Posting Date]]+15,IF(K535="COD",Table1[[#This Row],[Posting Date]],"")))</f>
        <v/>
      </c>
      <c r="M535" s="4" t="str">
        <f>IFERROR(IF(Table1[[#This Row],[Type]]="IN",Table1[[#This Row],[RC Date]]-Table1[[#This Row],[Posting Date]],""),"")</f>
        <v/>
      </c>
      <c r="N535">
        <f>IFERROR(IF(Table1[[#This Row],[Balance Due (LC)]]&lt;&gt;0,$S$1-L535,0),"")</f>
        <v>0</v>
      </c>
      <c r="O535" t="str">
        <f>IFERROR(IF(Table1[[#This Row],[Type]]="IN",Table1[[#This Row],[C/D (LC)]],IF(Table1[[#This Row],[Type]]="CN",Table1[[#This Row],[C/D (LC)]],"")),"")</f>
        <v/>
      </c>
      <c r="P535" t="str">
        <f>VLOOKUP(Table1[[#This Row],[Cust '#]],ClientInfo!$A:$B,2,0)</f>
        <v>Client_06</v>
      </c>
    </row>
    <row r="536" spans="1:16">
      <c r="A536" t="s">
        <v>112</v>
      </c>
      <c r="B536" t="s">
        <v>10</v>
      </c>
      <c r="C536">
        <v>700002218</v>
      </c>
      <c r="D536" s="1">
        <v>45635</v>
      </c>
      <c r="E536">
        <v>-2351.35</v>
      </c>
      <c r="F536">
        <v>0</v>
      </c>
      <c r="G536">
        <v>700002218</v>
      </c>
      <c r="H536" s="1">
        <v>45635</v>
      </c>
      <c r="I536">
        <f>YEAR(Table1[[#This Row],[Posting Date]])</f>
        <v>2024</v>
      </c>
      <c r="J536">
        <f>MONTH(Table1[[#This Row],[Posting Date]])</f>
        <v>12</v>
      </c>
      <c r="K536" t="str">
        <f>IF(Table1[[#This Row],[Type]]="IN",VLOOKUP(Table1[[#This Row],[Cust '#]],ClientInfo!$A:$D,4,0),"")</f>
        <v/>
      </c>
      <c r="L536" s="1" t="str">
        <f>IF(K536="NET30",Table1[[#This Row],[Posting Date]]+30,IF(K536="NET15",Table1[[#This Row],[Posting Date]]+15,IF(K536="COD",Table1[[#This Row],[Posting Date]],"")))</f>
        <v/>
      </c>
      <c r="M536" s="4" t="str">
        <f>IFERROR(IF(Table1[[#This Row],[Type]]="IN",Table1[[#This Row],[RC Date]]-Table1[[#This Row],[Posting Date]],""),"")</f>
        <v/>
      </c>
      <c r="N536">
        <f>IFERROR(IF(Table1[[#This Row],[Balance Due (LC)]]&lt;&gt;0,$S$1-L536,0),"")</f>
        <v>0</v>
      </c>
      <c r="O536" t="str">
        <f>IFERROR(IF(Table1[[#This Row],[Type]]="IN",Table1[[#This Row],[C/D (LC)]],IF(Table1[[#This Row],[Type]]="CN",Table1[[#This Row],[C/D (LC)]],"")),"")</f>
        <v/>
      </c>
      <c r="P536" t="str">
        <f>VLOOKUP(Table1[[#This Row],[Cust '#]],ClientInfo!$A:$B,2,0)</f>
        <v>Client_06</v>
      </c>
    </row>
    <row r="537" spans="1:16">
      <c r="A537" t="s">
        <v>112</v>
      </c>
      <c r="B537" t="s">
        <v>12</v>
      </c>
      <c r="C537">
        <v>140017653</v>
      </c>
      <c r="D537" s="1">
        <v>45638</v>
      </c>
      <c r="E537">
        <v>3252.73</v>
      </c>
      <c r="F537">
        <v>0</v>
      </c>
      <c r="G537">
        <v>700002257</v>
      </c>
      <c r="H537" s="1">
        <v>45639</v>
      </c>
      <c r="I537">
        <f>YEAR(Table1[[#This Row],[Posting Date]])</f>
        <v>2024</v>
      </c>
      <c r="J537">
        <f>MONTH(Table1[[#This Row],[Posting Date]])</f>
        <v>12</v>
      </c>
      <c r="K537" t="str">
        <f>IF(Table1[[#This Row],[Type]]="IN",VLOOKUP(Table1[[#This Row],[Cust '#]],ClientInfo!$A:$D,4,0),"")</f>
        <v>NET30</v>
      </c>
      <c r="L537" s="1">
        <f>IF(K537="NET30",Table1[[#This Row],[Posting Date]]+30,IF(K537="NET15",Table1[[#This Row],[Posting Date]]+15,IF(K537="COD",Table1[[#This Row],[Posting Date]],"")))</f>
        <v>45668</v>
      </c>
      <c r="M537" s="4">
        <f>IFERROR(IF(Table1[[#This Row],[Type]]="IN",Table1[[#This Row],[RC Date]]-Table1[[#This Row],[Posting Date]],""),"")</f>
        <v>1</v>
      </c>
      <c r="N537">
        <f>IFERROR(IF(Table1[[#This Row],[Balance Due (LC)]]&lt;&gt;0,$S$1-L537,0),"")</f>
        <v>0</v>
      </c>
      <c r="O537">
        <f>IFERROR(IF(Table1[[#This Row],[Type]]="IN",Table1[[#This Row],[C/D (LC)]],IF(Table1[[#This Row],[Type]]="CN",Table1[[#This Row],[C/D (LC)]],"")),"")</f>
        <v>3252.73</v>
      </c>
      <c r="P537" t="str">
        <f>VLOOKUP(Table1[[#This Row],[Cust '#]],ClientInfo!$A:$B,2,0)</f>
        <v>Client_06</v>
      </c>
    </row>
    <row r="538" spans="1:16">
      <c r="A538" t="s">
        <v>112</v>
      </c>
      <c r="B538" t="s">
        <v>10</v>
      </c>
      <c r="C538">
        <v>700002257</v>
      </c>
      <c r="D538" s="1">
        <v>45639</v>
      </c>
      <c r="E538">
        <v>-3252.73</v>
      </c>
      <c r="F538">
        <v>0</v>
      </c>
      <c r="G538">
        <v>700002257</v>
      </c>
      <c r="H538" s="1">
        <v>45639</v>
      </c>
      <c r="I538">
        <f>YEAR(Table1[[#This Row],[Posting Date]])</f>
        <v>2024</v>
      </c>
      <c r="J538">
        <f>MONTH(Table1[[#This Row],[Posting Date]])</f>
        <v>12</v>
      </c>
      <c r="K538" t="str">
        <f>IF(Table1[[#This Row],[Type]]="IN",VLOOKUP(Table1[[#This Row],[Cust '#]],ClientInfo!$A:$D,4,0),"")</f>
        <v/>
      </c>
      <c r="L538" s="1" t="str">
        <f>IF(K538="NET30",Table1[[#This Row],[Posting Date]]+30,IF(K538="NET15",Table1[[#This Row],[Posting Date]]+15,IF(K538="COD",Table1[[#This Row],[Posting Date]],"")))</f>
        <v/>
      </c>
      <c r="M538" s="4" t="str">
        <f>IFERROR(IF(Table1[[#This Row],[Type]]="IN",Table1[[#This Row],[RC Date]]-Table1[[#This Row],[Posting Date]],""),"")</f>
        <v/>
      </c>
      <c r="N538">
        <f>IFERROR(IF(Table1[[#This Row],[Balance Due (LC)]]&lt;&gt;0,$S$1-L538,0),"")</f>
        <v>0</v>
      </c>
      <c r="O538" t="str">
        <f>IFERROR(IF(Table1[[#This Row],[Type]]="IN",Table1[[#This Row],[C/D (LC)]],IF(Table1[[#This Row],[Type]]="CN",Table1[[#This Row],[C/D (LC)]],"")),"")</f>
        <v/>
      </c>
      <c r="P538" t="str">
        <f>VLOOKUP(Table1[[#This Row],[Cust '#]],ClientInfo!$A:$B,2,0)</f>
        <v>Client_06</v>
      </c>
    </row>
    <row r="539" spans="1:16">
      <c r="A539" t="s">
        <v>112</v>
      </c>
      <c r="B539" t="s">
        <v>10</v>
      </c>
      <c r="C539">
        <v>700002267</v>
      </c>
      <c r="D539" s="1">
        <v>45639</v>
      </c>
      <c r="E539">
        <v>-3420.05</v>
      </c>
      <c r="F539">
        <v>0</v>
      </c>
      <c r="G539">
        <v>700002267</v>
      </c>
      <c r="H539" s="1">
        <v>45639</v>
      </c>
      <c r="I539">
        <f>YEAR(Table1[[#This Row],[Posting Date]])</f>
        <v>2024</v>
      </c>
      <c r="J539">
        <f>MONTH(Table1[[#This Row],[Posting Date]])</f>
        <v>12</v>
      </c>
      <c r="K539" t="str">
        <f>IF(Table1[[#This Row],[Type]]="IN",VLOOKUP(Table1[[#This Row],[Cust '#]],ClientInfo!$A:$D,4,0),"")</f>
        <v/>
      </c>
      <c r="L539" s="1" t="str">
        <f>IF(K539="NET30",Table1[[#This Row],[Posting Date]]+30,IF(K539="NET15",Table1[[#This Row],[Posting Date]]+15,IF(K539="COD",Table1[[#This Row],[Posting Date]],"")))</f>
        <v/>
      </c>
      <c r="M539" s="4" t="str">
        <f>IFERROR(IF(Table1[[#This Row],[Type]]="IN",Table1[[#This Row],[RC Date]]-Table1[[#This Row],[Posting Date]],""),"")</f>
        <v/>
      </c>
      <c r="N539">
        <f>IFERROR(IF(Table1[[#This Row],[Balance Due (LC)]]&lt;&gt;0,$S$1-L539,0),"")</f>
        <v>0</v>
      </c>
      <c r="O539" t="str">
        <f>IFERROR(IF(Table1[[#This Row],[Type]]="IN",Table1[[#This Row],[C/D (LC)]],IF(Table1[[#This Row],[Type]]="CN",Table1[[#This Row],[C/D (LC)]],"")),"")</f>
        <v/>
      </c>
      <c r="P539" t="str">
        <f>VLOOKUP(Table1[[#This Row],[Cust '#]],ClientInfo!$A:$B,2,0)</f>
        <v>Client_06</v>
      </c>
    </row>
    <row r="540" spans="1:16">
      <c r="A540" t="s">
        <v>112</v>
      </c>
      <c r="B540" t="s">
        <v>10</v>
      </c>
      <c r="C540">
        <v>700002348</v>
      </c>
      <c r="D540" s="1">
        <v>45650</v>
      </c>
      <c r="E540">
        <v>-3957.45</v>
      </c>
      <c r="F540">
        <v>0</v>
      </c>
      <c r="G540">
        <v>700002348</v>
      </c>
      <c r="H540" s="1">
        <v>45650</v>
      </c>
      <c r="I540">
        <f>YEAR(Table1[[#This Row],[Posting Date]])</f>
        <v>2024</v>
      </c>
      <c r="J540">
        <f>MONTH(Table1[[#This Row],[Posting Date]])</f>
        <v>12</v>
      </c>
      <c r="K540" t="str">
        <f>IF(Table1[[#This Row],[Type]]="IN",VLOOKUP(Table1[[#This Row],[Cust '#]],ClientInfo!$A:$D,4,0),"")</f>
        <v/>
      </c>
      <c r="L540" s="1" t="str">
        <f>IF(K540="NET30",Table1[[#This Row],[Posting Date]]+30,IF(K540="NET15",Table1[[#This Row],[Posting Date]]+15,IF(K540="COD",Table1[[#This Row],[Posting Date]],"")))</f>
        <v/>
      </c>
      <c r="M540" s="4" t="str">
        <f>IFERROR(IF(Table1[[#This Row],[Type]]="IN",Table1[[#This Row],[RC Date]]-Table1[[#This Row],[Posting Date]],""),"")</f>
        <v/>
      </c>
      <c r="N540">
        <f>IFERROR(IF(Table1[[#This Row],[Balance Due (LC)]]&lt;&gt;0,$S$1-L540,0),"")</f>
        <v>0</v>
      </c>
      <c r="O540" t="str">
        <f>IFERROR(IF(Table1[[#This Row],[Type]]="IN",Table1[[#This Row],[C/D (LC)]],IF(Table1[[#This Row],[Type]]="CN",Table1[[#This Row],[C/D (LC)]],"")),"")</f>
        <v/>
      </c>
      <c r="P540" t="str">
        <f>VLOOKUP(Table1[[#This Row],[Cust '#]],ClientInfo!$A:$B,2,0)</f>
        <v>Client_06</v>
      </c>
    </row>
    <row r="541" spans="1:16">
      <c r="A541" t="s">
        <v>112</v>
      </c>
      <c r="B541" t="s">
        <v>12</v>
      </c>
      <c r="C541">
        <v>140018316</v>
      </c>
      <c r="D541" s="1">
        <v>45652</v>
      </c>
      <c r="E541">
        <v>3772.95</v>
      </c>
      <c r="F541">
        <v>0</v>
      </c>
      <c r="G541">
        <v>700002635</v>
      </c>
      <c r="H541" s="1">
        <v>45692</v>
      </c>
      <c r="I541">
        <f>YEAR(Table1[[#This Row],[Posting Date]])</f>
        <v>2024</v>
      </c>
      <c r="J541">
        <f>MONTH(Table1[[#This Row],[Posting Date]])</f>
        <v>12</v>
      </c>
      <c r="K541" t="str">
        <f>IF(Table1[[#This Row],[Type]]="IN",VLOOKUP(Table1[[#This Row],[Cust '#]],ClientInfo!$A:$D,4,0),"")</f>
        <v>NET30</v>
      </c>
      <c r="L541" s="1">
        <f>IF(K541="NET30",Table1[[#This Row],[Posting Date]]+30,IF(K541="NET15",Table1[[#This Row],[Posting Date]]+15,IF(K541="COD",Table1[[#This Row],[Posting Date]],"")))</f>
        <v>45682</v>
      </c>
      <c r="M541" s="4">
        <f>IFERROR(IF(Table1[[#This Row],[Type]]="IN",Table1[[#This Row],[RC Date]]-Table1[[#This Row],[Posting Date]],""),"")</f>
        <v>40</v>
      </c>
      <c r="N541">
        <f>IFERROR(IF(Table1[[#This Row],[Balance Due (LC)]]&lt;&gt;0,$S$1-L541,0),"")</f>
        <v>0</v>
      </c>
      <c r="O541">
        <f>IFERROR(IF(Table1[[#This Row],[Type]]="IN",Table1[[#This Row],[C/D (LC)]],IF(Table1[[#This Row],[Type]]="CN",Table1[[#This Row],[C/D (LC)]],"")),"")</f>
        <v>3772.95</v>
      </c>
      <c r="P541" t="str">
        <f>VLOOKUP(Table1[[#This Row],[Cust '#]],ClientInfo!$A:$B,2,0)</f>
        <v>Client_06</v>
      </c>
    </row>
    <row r="542" spans="1:16">
      <c r="A542" t="s">
        <v>112</v>
      </c>
      <c r="B542" t="s">
        <v>12</v>
      </c>
      <c r="C542">
        <v>140018950</v>
      </c>
      <c r="D542" s="1">
        <v>45666</v>
      </c>
      <c r="E542">
        <v>3095.75</v>
      </c>
      <c r="F542">
        <v>0</v>
      </c>
      <c r="G542">
        <v>700002740</v>
      </c>
      <c r="H542" s="1">
        <v>45702</v>
      </c>
      <c r="I542">
        <f>YEAR(Table1[[#This Row],[Posting Date]])</f>
        <v>2025</v>
      </c>
      <c r="J542">
        <f>MONTH(Table1[[#This Row],[Posting Date]])</f>
        <v>1</v>
      </c>
      <c r="K542" t="str">
        <f>IF(Table1[[#This Row],[Type]]="IN",VLOOKUP(Table1[[#This Row],[Cust '#]],ClientInfo!$A:$D,4,0),"")</f>
        <v>NET30</v>
      </c>
      <c r="L542" s="1">
        <f>IF(K542="NET30",Table1[[#This Row],[Posting Date]]+30,IF(K542="NET15",Table1[[#This Row],[Posting Date]]+15,IF(K542="COD",Table1[[#This Row],[Posting Date]],"")))</f>
        <v>45696</v>
      </c>
      <c r="M542" s="4">
        <f>IFERROR(IF(Table1[[#This Row],[Type]]="IN",Table1[[#This Row],[RC Date]]-Table1[[#This Row],[Posting Date]],""),"")</f>
        <v>36</v>
      </c>
      <c r="N542">
        <f>IFERROR(IF(Table1[[#This Row],[Balance Due (LC)]]&lt;&gt;0,$S$1-L542,0),"")</f>
        <v>0</v>
      </c>
      <c r="O542">
        <f>IFERROR(IF(Table1[[#This Row],[Type]]="IN",Table1[[#This Row],[C/D (LC)]],IF(Table1[[#This Row],[Type]]="CN",Table1[[#This Row],[C/D (LC)]],"")),"")</f>
        <v>3095.75</v>
      </c>
      <c r="P542" t="str">
        <f>VLOOKUP(Table1[[#This Row],[Cust '#]],ClientInfo!$A:$B,2,0)</f>
        <v>Client_06</v>
      </c>
    </row>
    <row r="543" spans="1:16">
      <c r="A543" t="s">
        <v>112</v>
      </c>
      <c r="B543" t="s">
        <v>12</v>
      </c>
      <c r="C543">
        <v>140019604</v>
      </c>
      <c r="D543" s="1">
        <v>45680</v>
      </c>
      <c r="E543">
        <v>2488.13</v>
      </c>
      <c r="F543">
        <v>0</v>
      </c>
      <c r="G543">
        <v>700002801</v>
      </c>
      <c r="H543" s="1">
        <v>45712</v>
      </c>
      <c r="I543">
        <f>YEAR(Table1[[#This Row],[Posting Date]])</f>
        <v>2025</v>
      </c>
      <c r="J543">
        <f>MONTH(Table1[[#This Row],[Posting Date]])</f>
        <v>1</v>
      </c>
      <c r="K543" t="str">
        <f>IF(Table1[[#This Row],[Type]]="IN",VLOOKUP(Table1[[#This Row],[Cust '#]],ClientInfo!$A:$D,4,0),"")</f>
        <v>NET30</v>
      </c>
      <c r="L543" s="1">
        <f>IF(K543="NET30",Table1[[#This Row],[Posting Date]]+30,IF(K543="NET15",Table1[[#This Row],[Posting Date]]+15,IF(K543="COD",Table1[[#This Row],[Posting Date]],"")))</f>
        <v>45710</v>
      </c>
      <c r="M543" s="4">
        <f>IFERROR(IF(Table1[[#This Row],[Type]]="IN",Table1[[#This Row],[RC Date]]-Table1[[#This Row],[Posting Date]],""),"")</f>
        <v>32</v>
      </c>
      <c r="N543">
        <f>IFERROR(IF(Table1[[#This Row],[Balance Due (LC)]]&lt;&gt;0,$S$1-L543,0),"")</f>
        <v>0</v>
      </c>
      <c r="O543">
        <f>IFERROR(IF(Table1[[#This Row],[Type]]="IN",Table1[[#This Row],[C/D (LC)]],IF(Table1[[#This Row],[Type]]="CN",Table1[[#This Row],[C/D (LC)]],"")),"")</f>
        <v>2488.13</v>
      </c>
      <c r="P543" t="str">
        <f>VLOOKUP(Table1[[#This Row],[Cust '#]],ClientInfo!$A:$B,2,0)</f>
        <v>Client_06</v>
      </c>
    </row>
    <row r="544" spans="1:16">
      <c r="A544" t="s">
        <v>112</v>
      </c>
      <c r="B544" t="s">
        <v>12</v>
      </c>
      <c r="C544">
        <v>140019853</v>
      </c>
      <c r="D544" s="1">
        <v>45686</v>
      </c>
      <c r="E544">
        <v>155.80000000000001</v>
      </c>
      <c r="F544">
        <v>0</v>
      </c>
      <c r="G544">
        <v>700002960</v>
      </c>
      <c r="H544" s="1">
        <v>45729</v>
      </c>
      <c r="I544">
        <f>YEAR(Table1[[#This Row],[Posting Date]])</f>
        <v>2025</v>
      </c>
      <c r="J544">
        <f>MONTH(Table1[[#This Row],[Posting Date]])</f>
        <v>1</v>
      </c>
      <c r="K544" t="str">
        <f>IF(Table1[[#This Row],[Type]]="IN",VLOOKUP(Table1[[#This Row],[Cust '#]],ClientInfo!$A:$D,4,0),"")</f>
        <v>NET30</v>
      </c>
      <c r="L544" s="1">
        <f>IF(K544="NET30",Table1[[#This Row],[Posting Date]]+30,IF(K544="NET15",Table1[[#This Row],[Posting Date]]+15,IF(K544="COD",Table1[[#This Row],[Posting Date]],"")))</f>
        <v>45716</v>
      </c>
      <c r="M544" s="4">
        <f>IFERROR(IF(Table1[[#This Row],[Type]]="IN",Table1[[#This Row],[RC Date]]-Table1[[#This Row],[Posting Date]],""),"")</f>
        <v>43</v>
      </c>
      <c r="N544">
        <f>IFERROR(IF(Table1[[#This Row],[Balance Due (LC)]]&lt;&gt;0,$S$1-L544,0),"")</f>
        <v>0</v>
      </c>
      <c r="O544">
        <f>IFERROR(IF(Table1[[#This Row],[Type]]="IN",Table1[[#This Row],[C/D (LC)]],IF(Table1[[#This Row],[Type]]="CN",Table1[[#This Row],[C/D (LC)]],"")),"")</f>
        <v>155.80000000000001</v>
      </c>
      <c r="P544" t="str">
        <f>VLOOKUP(Table1[[#This Row],[Cust '#]],ClientInfo!$A:$B,2,0)</f>
        <v>Client_06</v>
      </c>
    </row>
    <row r="545" spans="1:16">
      <c r="A545" t="s">
        <v>112</v>
      </c>
      <c r="B545" t="s">
        <v>12</v>
      </c>
      <c r="C545">
        <v>140019860</v>
      </c>
      <c r="D545" s="1">
        <v>45686</v>
      </c>
      <c r="E545">
        <v>420</v>
      </c>
      <c r="F545">
        <v>0</v>
      </c>
      <c r="G545">
        <v>700002960</v>
      </c>
      <c r="H545" s="1">
        <v>45729</v>
      </c>
      <c r="I545">
        <f>YEAR(Table1[[#This Row],[Posting Date]])</f>
        <v>2025</v>
      </c>
      <c r="J545">
        <f>MONTH(Table1[[#This Row],[Posting Date]])</f>
        <v>1</v>
      </c>
      <c r="K545" t="str">
        <f>IF(Table1[[#This Row],[Type]]="IN",VLOOKUP(Table1[[#This Row],[Cust '#]],ClientInfo!$A:$D,4,0),"")</f>
        <v>NET30</v>
      </c>
      <c r="L545" s="1">
        <f>IF(K545="NET30",Table1[[#This Row],[Posting Date]]+30,IF(K545="NET15",Table1[[#This Row],[Posting Date]]+15,IF(K545="COD",Table1[[#This Row],[Posting Date]],"")))</f>
        <v>45716</v>
      </c>
      <c r="M545" s="4">
        <f>IFERROR(IF(Table1[[#This Row],[Type]]="IN",Table1[[#This Row],[RC Date]]-Table1[[#This Row],[Posting Date]],""),"")</f>
        <v>43</v>
      </c>
      <c r="N545">
        <f>IFERROR(IF(Table1[[#This Row],[Balance Due (LC)]]&lt;&gt;0,$S$1-L545,0),"")</f>
        <v>0</v>
      </c>
      <c r="O545">
        <f>IFERROR(IF(Table1[[#This Row],[Type]]="IN",Table1[[#This Row],[C/D (LC)]],IF(Table1[[#This Row],[Type]]="CN",Table1[[#This Row],[C/D (LC)]],"")),"")</f>
        <v>420</v>
      </c>
      <c r="P545" t="str">
        <f>VLOOKUP(Table1[[#This Row],[Cust '#]],ClientInfo!$A:$B,2,0)</f>
        <v>Client_06</v>
      </c>
    </row>
    <row r="546" spans="1:16">
      <c r="A546" t="s">
        <v>112</v>
      </c>
      <c r="B546" t="s">
        <v>10</v>
      </c>
      <c r="C546">
        <v>700002635</v>
      </c>
      <c r="D546" s="1">
        <v>45692</v>
      </c>
      <c r="E546">
        <v>-3772.95</v>
      </c>
      <c r="F546">
        <v>0</v>
      </c>
      <c r="G546">
        <v>700002635</v>
      </c>
      <c r="H546" s="1">
        <v>45692</v>
      </c>
      <c r="I546">
        <f>YEAR(Table1[[#This Row],[Posting Date]])</f>
        <v>2025</v>
      </c>
      <c r="J546">
        <f>MONTH(Table1[[#This Row],[Posting Date]])</f>
        <v>2</v>
      </c>
      <c r="K546" t="str">
        <f>IF(Table1[[#This Row],[Type]]="IN",VLOOKUP(Table1[[#This Row],[Cust '#]],ClientInfo!$A:$D,4,0),"")</f>
        <v/>
      </c>
      <c r="L546" s="1" t="str">
        <f>IF(K546="NET30",Table1[[#This Row],[Posting Date]]+30,IF(K546="NET15",Table1[[#This Row],[Posting Date]]+15,IF(K546="COD",Table1[[#This Row],[Posting Date]],"")))</f>
        <v/>
      </c>
      <c r="M546" s="4" t="str">
        <f>IFERROR(IF(Table1[[#This Row],[Type]]="IN",Table1[[#This Row],[RC Date]]-Table1[[#This Row],[Posting Date]],""),"")</f>
        <v/>
      </c>
      <c r="N546">
        <f>IFERROR(IF(Table1[[#This Row],[Balance Due (LC)]]&lt;&gt;0,$S$1-L546,0),"")</f>
        <v>0</v>
      </c>
      <c r="O546" t="str">
        <f>IFERROR(IF(Table1[[#This Row],[Type]]="IN",Table1[[#This Row],[C/D (LC)]],IF(Table1[[#This Row],[Type]]="CN",Table1[[#This Row],[C/D (LC)]],"")),"")</f>
        <v/>
      </c>
      <c r="P546" t="str">
        <f>VLOOKUP(Table1[[#This Row],[Cust '#]],ClientInfo!$A:$B,2,0)</f>
        <v>Client_06</v>
      </c>
    </row>
    <row r="547" spans="1:16">
      <c r="A547" t="s">
        <v>112</v>
      </c>
      <c r="B547" t="s">
        <v>12</v>
      </c>
      <c r="C547">
        <v>140020244</v>
      </c>
      <c r="D547" s="1">
        <v>45694</v>
      </c>
      <c r="E547">
        <v>3268.73</v>
      </c>
      <c r="F547">
        <v>0</v>
      </c>
      <c r="G547">
        <v>700003022</v>
      </c>
      <c r="H547" s="1">
        <v>45737</v>
      </c>
      <c r="I547">
        <f>YEAR(Table1[[#This Row],[Posting Date]])</f>
        <v>2025</v>
      </c>
      <c r="J547">
        <f>MONTH(Table1[[#This Row],[Posting Date]])</f>
        <v>2</v>
      </c>
      <c r="K547" t="str">
        <f>IF(Table1[[#This Row],[Type]]="IN",VLOOKUP(Table1[[#This Row],[Cust '#]],ClientInfo!$A:$D,4,0),"")</f>
        <v>NET30</v>
      </c>
      <c r="L547" s="1">
        <f>IF(K547="NET30",Table1[[#This Row],[Posting Date]]+30,IF(K547="NET15",Table1[[#This Row],[Posting Date]]+15,IF(K547="COD",Table1[[#This Row],[Posting Date]],"")))</f>
        <v>45724</v>
      </c>
      <c r="M547" s="4">
        <f>IFERROR(IF(Table1[[#This Row],[Type]]="IN",Table1[[#This Row],[RC Date]]-Table1[[#This Row],[Posting Date]],""),"")</f>
        <v>43</v>
      </c>
      <c r="N547">
        <f>IFERROR(IF(Table1[[#This Row],[Balance Due (LC)]]&lt;&gt;0,$S$1-L547,0),"")</f>
        <v>0</v>
      </c>
      <c r="O547">
        <f>IFERROR(IF(Table1[[#This Row],[Type]]="IN",Table1[[#This Row],[C/D (LC)]],IF(Table1[[#This Row],[Type]]="CN",Table1[[#This Row],[C/D (LC)]],"")),"")</f>
        <v>3268.73</v>
      </c>
      <c r="P547" t="str">
        <f>VLOOKUP(Table1[[#This Row],[Cust '#]],ClientInfo!$A:$B,2,0)</f>
        <v>Client_06</v>
      </c>
    </row>
    <row r="548" spans="1:16">
      <c r="A548" t="s">
        <v>112</v>
      </c>
      <c r="B548" t="s">
        <v>12</v>
      </c>
      <c r="C548">
        <v>140020446</v>
      </c>
      <c r="D548" s="1">
        <v>45699</v>
      </c>
      <c r="E548">
        <v>620</v>
      </c>
      <c r="F548">
        <v>0</v>
      </c>
      <c r="G548">
        <v>700003098</v>
      </c>
      <c r="H548" s="1">
        <v>45748</v>
      </c>
      <c r="I548">
        <f>YEAR(Table1[[#This Row],[Posting Date]])</f>
        <v>2025</v>
      </c>
      <c r="J548">
        <f>MONTH(Table1[[#This Row],[Posting Date]])</f>
        <v>2</v>
      </c>
      <c r="K548" t="str">
        <f>IF(Table1[[#This Row],[Type]]="IN",VLOOKUP(Table1[[#This Row],[Cust '#]],ClientInfo!$A:$D,4,0),"")</f>
        <v>NET30</v>
      </c>
      <c r="L548" s="1">
        <f>IF(K548="NET30",Table1[[#This Row],[Posting Date]]+30,IF(K548="NET15",Table1[[#This Row],[Posting Date]]+15,IF(K548="COD",Table1[[#This Row],[Posting Date]],"")))</f>
        <v>45729</v>
      </c>
      <c r="M548" s="4">
        <f>IFERROR(IF(Table1[[#This Row],[Type]]="IN",Table1[[#This Row],[RC Date]]-Table1[[#This Row],[Posting Date]],""),"")</f>
        <v>49</v>
      </c>
      <c r="N548">
        <f>IFERROR(IF(Table1[[#This Row],[Balance Due (LC)]]&lt;&gt;0,$S$1-L548,0),"")</f>
        <v>0</v>
      </c>
      <c r="O548">
        <f>IFERROR(IF(Table1[[#This Row],[Type]]="IN",Table1[[#This Row],[C/D (LC)]],IF(Table1[[#This Row],[Type]]="CN",Table1[[#This Row],[C/D (LC)]],"")),"")</f>
        <v>620</v>
      </c>
      <c r="P548" t="str">
        <f>VLOOKUP(Table1[[#This Row],[Cust '#]],ClientInfo!$A:$B,2,0)</f>
        <v>Client_06</v>
      </c>
    </row>
    <row r="549" spans="1:16">
      <c r="A549" t="s">
        <v>112</v>
      </c>
      <c r="B549" t="s">
        <v>10</v>
      </c>
      <c r="C549">
        <v>700002740</v>
      </c>
      <c r="D549" s="1">
        <v>45702</v>
      </c>
      <c r="E549">
        <v>-3091.25</v>
      </c>
      <c r="F549">
        <v>0</v>
      </c>
      <c r="G549">
        <v>700002740</v>
      </c>
      <c r="H549" s="1">
        <v>45702</v>
      </c>
      <c r="I549">
        <f>YEAR(Table1[[#This Row],[Posting Date]])</f>
        <v>2025</v>
      </c>
      <c r="J549">
        <f>MONTH(Table1[[#This Row],[Posting Date]])</f>
        <v>2</v>
      </c>
      <c r="K549" t="str">
        <f>IF(Table1[[#This Row],[Type]]="IN",VLOOKUP(Table1[[#This Row],[Cust '#]],ClientInfo!$A:$D,4,0),"")</f>
        <v/>
      </c>
      <c r="L549" s="1" t="str">
        <f>IF(K549="NET30",Table1[[#This Row],[Posting Date]]+30,IF(K549="NET15",Table1[[#This Row],[Posting Date]]+15,IF(K549="COD",Table1[[#This Row],[Posting Date]],"")))</f>
        <v/>
      </c>
      <c r="M549" s="4" t="str">
        <f>IFERROR(IF(Table1[[#This Row],[Type]]="IN",Table1[[#This Row],[RC Date]]-Table1[[#This Row],[Posting Date]],""),"")</f>
        <v/>
      </c>
      <c r="N549">
        <f>IFERROR(IF(Table1[[#This Row],[Balance Due (LC)]]&lt;&gt;0,$S$1-L549,0),"")</f>
        <v>0</v>
      </c>
      <c r="O549" t="str">
        <f>IFERROR(IF(Table1[[#This Row],[Type]]="IN",Table1[[#This Row],[C/D (LC)]],IF(Table1[[#This Row],[Type]]="CN",Table1[[#This Row],[C/D (LC)]],"")),"")</f>
        <v/>
      </c>
      <c r="P549" t="str">
        <f>VLOOKUP(Table1[[#This Row],[Cust '#]],ClientInfo!$A:$B,2,0)</f>
        <v>Client_06</v>
      </c>
    </row>
    <row r="550" spans="1:16">
      <c r="A550" t="s">
        <v>112</v>
      </c>
      <c r="B550" t="s">
        <v>12</v>
      </c>
      <c r="C550">
        <v>140021047</v>
      </c>
      <c r="D550" s="1">
        <v>45712</v>
      </c>
      <c r="E550">
        <v>4494.95</v>
      </c>
      <c r="F550">
        <v>62</v>
      </c>
      <c r="G550">
        <v>700003166</v>
      </c>
      <c r="H550" s="1">
        <v>45754</v>
      </c>
      <c r="I550">
        <f>YEAR(Table1[[#This Row],[Posting Date]])</f>
        <v>2025</v>
      </c>
      <c r="J550">
        <f>MONTH(Table1[[#This Row],[Posting Date]])</f>
        <v>2</v>
      </c>
      <c r="K550" t="str">
        <f>IF(Table1[[#This Row],[Type]]="IN",VLOOKUP(Table1[[#This Row],[Cust '#]],ClientInfo!$A:$D,4,0),"")</f>
        <v>NET30</v>
      </c>
      <c r="L550" s="1">
        <f>IF(K550="NET30",Table1[[#This Row],[Posting Date]]+30,IF(K550="NET15",Table1[[#This Row],[Posting Date]]+15,IF(K550="COD",Table1[[#This Row],[Posting Date]],"")))</f>
        <v>45742</v>
      </c>
      <c r="M550" s="4">
        <f>IFERROR(IF(Table1[[#This Row],[Type]]="IN",Table1[[#This Row],[RC Date]]-Table1[[#This Row],[Posting Date]],""),"")</f>
        <v>42</v>
      </c>
      <c r="N550">
        <f>IFERROR(IF(Table1[[#This Row],[Balance Due (LC)]]&lt;&gt;0,$S$1-L550,0),"")</f>
        <v>84</v>
      </c>
      <c r="O550">
        <f>IFERROR(IF(Table1[[#This Row],[Type]]="IN",Table1[[#This Row],[C/D (LC)]],IF(Table1[[#This Row],[Type]]="CN",Table1[[#This Row],[C/D (LC)]],"")),"")</f>
        <v>4494.95</v>
      </c>
      <c r="P550" t="str">
        <f>VLOOKUP(Table1[[#This Row],[Cust '#]],ClientInfo!$A:$B,2,0)</f>
        <v>Client_06</v>
      </c>
    </row>
    <row r="551" spans="1:16">
      <c r="A551" t="s">
        <v>112</v>
      </c>
      <c r="B551" t="s">
        <v>10</v>
      </c>
      <c r="C551">
        <v>700002801</v>
      </c>
      <c r="D551" s="1">
        <v>45712</v>
      </c>
      <c r="E551">
        <v>-2488.13</v>
      </c>
      <c r="F551">
        <v>0</v>
      </c>
      <c r="G551">
        <v>700002801</v>
      </c>
      <c r="H551" s="1">
        <v>45712</v>
      </c>
      <c r="I551">
        <f>YEAR(Table1[[#This Row],[Posting Date]])</f>
        <v>2025</v>
      </c>
      <c r="J551">
        <f>MONTH(Table1[[#This Row],[Posting Date]])</f>
        <v>2</v>
      </c>
      <c r="K551" t="str">
        <f>IF(Table1[[#This Row],[Type]]="IN",VLOOKUP(Table1[[#This Row],[Cust '#]],ClientInfo!$A:$D,4,0),"")</f>
        <v/>
      </c>
      <c r="L551" s="1" t="str">
        <f>IF(K551="NET30",Table1[[#This Row],[Posting Date]]+30,IF(K551="NET15",Table1[[#This Row],[Posting Date]]+15,IF(K551="COD",Table1[[#This Row],[Posting Date]],"")))</f>
        <v/>
      </c>
      <c r="M551" s="4" t="str">
        <f>IFERROR(IF(Table1[[#This Row],[Type]]="IN",Table1[[#This Row],[RC Date]]-Table1[[#This Row],[Posting Date]],""),"")</f>
        <v/>
      </c>
      <c r="N551">
        <f>IFERROR(IF(Table1[[#This Row],[Balance Due (LC)]]&lt;&gt;0,$S$1-L551,0),"")</f>
        <v>0</v>
      </c>
      <c r="O551" t="str">
        <f>IFERROR(IF(Table1[[#This Row],[Type]]="IN",Table1[[#This Row],[C/D (LC)]],IF(Table1[[#This Row],[Type]]="CN",Table1[[#This Row],[C/D (LC)]],"")),"")</f>
        <v/>
      </c>
      <c r="P551" t="str">
        <f>VLOOKUP(Table1[[#This Row],[Cust '#]],ClientInfo!$A:$B,2,0)</f>
        <v>Client_06</v>
      </c>
    </row>
    <row r="552" spans="1:16">
      <c r="A552" t="s">
        <v>112</v>
      </c>
      <c r="B552" t="s">
        <v>13</v>
      </c>
      <c r="C552">
        <v>150000942</v>
      </c>
      <c r="D552" s="1">
        <v>45713</v>
      </c>
      <c r="E552">
        <v>-62</v>
      </c>
      <c r="F552">
        <v>0</v>
      </c>
      <c r="G552">
        <v>700003098</v>
      </c>
      <c r="H552" s="1">
        <v>45748</v>
      </c>
      <c r="I552">
        <f>YEAR(Table1[[#This Row],[Posting Date]])</f>
        <v>2025</v>
      </c>
      <c r="J552">
        <f>MONTH(Table1[[#This Row],[Posting Date]])</f>
        <v>2</v>
      </c>
      <c r="K552" t="str">
        <f>IF(Table1[[#This Row],[Type]]="IN",VLOOKUP(Table1[[#This Row],[Cust '#]],ClientInfo!$A:$D,4,0),"")</f>
        <v/>
      </c>
      <c r="L552" s="1" t="str">
        <f>IF(K552="NET30",Table1[[#This Row],[Posting Date]]+30,IF(K552="NET15",Table1[[#This Row],[Posting Date]]+15,IF(K552="COD",Table1[[#This Row],[Posting Date]],"")))</f>
        <v/>
      </c>
      <c r="M552" s="4" t="str">
        <f>IFERROR(IF(Table1[[#This Row],[Type]]="IN",Table1[[#This Row],[RC Date]]-Table1[[#This Row],[Posting Date]],""),"")</f>
        <v/>
      </c>
      <c r="N552">
        <f>IFERROR(IF(Table1[[#This Row],[Balance Due (LC)]]&lt;&gt;0,$S$1-L552,0),"")</f>
        <v>0</v>
      </c>
      <c r="O552">
        <f>IFERROR(IF(Table1[[#This Row],[Type]]="IN",Table1[[#This Row],[C/D (LC)]],IF(Table1[[#This Row],[Type]]="CN",Table1[[#This Row],[C/D (LC)]],"")),"")</f>
        <v>-62</v>
      </c>
      <c r="P552" t="str">
        <f>VLOOKUP(Table1[[#This Row],[Cust '#]],ClientInfo!$A:$B,2,0)</f>
        <v>Client_06</v>
      </c>
    </row>
    <row r="553" spans="1:16">
      <c r="A553" t="s">
        <v>112</v>
      </c>
      <c r="B553" t="s">
        <v>12</v>
      </c>
      <c r="C553">
        <v>140021818</v>
      </c>
      <c r="D553" s="1">
        <v>45729</v>
      </c>
      <c r="E553">
        <v>2319.9299999999998</v>
      </c>
      <c r="F553">
        <v>0</v>
      </c>
      <c r="G553">
        <v>700003283</v>
      </c>
      <c r="H553" s="1">
        <v>45765</v>
      </c>
      <c r="I553">
        <f>YEAR(Table1[[#This Row],[Posting Date]])</f>
        <v>2025</v>
      </c>
      <c r="J553">
        <f>MONTH(Table1[[#This Row],[Posting Date]])</f>
        <v>3</v>
      </c>
      <c r="K553" t="str">
        <f>IF(Table1[[#This Row],[Type]]="IN",VLOOKUP(Table1[[#This Row],[Cust '#]],ClientInfo!$A:$D,4,0),"")</f>
        <v>NET30</v>
      </c>
      <c r="L553" s="1">
        <f>IF(K553="NET30",Table1[[#This Row],[Posting Date]]+30,IF(K553="NET15",Table1[[#This Row],[Posting Date]]+15,IF(K553="COD",Table1[[#This Row],[Posting Date]],"")))</f>
        <v>45759</v>
      </c>
      <c r="M553" s="4">
        <f>IFERROR(IF(Table1[[#This Row],[Type]]="IN",Table1[[#This Row],[RC Date]]-Table1[[#This Row],[Posting Date]],""),"")</f>
        <v>36</v>
      </c>
      <c r="N553">
        <f>IFERROR(IF(Table1[[#This Row],[Balance Due (LC)]]&lt;&gt;0,$S$1-L553,0),"")</f>
        <v>0</v>
      </c>
      <c r="O553">
        <f>IFERROR(IF(Table1[[#This Row],[Type]]="IN",Table1[[#This Row],[C/D (LC)]],IF(Table1[[#This Row],[Type]]="CN",Table1[[#This Row],[C/D (LC)]],"")),"")</f>
        <v>2319.9299999999998</v>
      </c>
      <c r="P553" t="str">
        <f>VLOOKUP(Table1[[#This Row],[Cust '#]],ClientInfo!$A:$B,2,0)</f>
        <v>Client_06</v>
      </c>
    </row>
    <row r="554" spans="1:16">
      <c r="A554" t="s">
        <v>112</v>
      </c>
      <c r="B554" t="s">
        <v>10</v>
      </c>
      <c r="C554">
        <v>700002960</v>
      </c>
      <c r="D554" s="1">
        <v>45729</v>
      </c>
      <c r="E554">
        <v>-575.79999999999995</v>
      </c>
      <c r="F554">
        <v>0</v>
      </c>
      <c r="G554">
        <v>700002960</v>
      </c>
      <c r="H554" s="1">
        <v>45729</v>
      </c>
      <c r="I554">
        <f>YEAR(Table1[[#This Row],[Posting Date]])</f>
        <v>2025</v>
      </c>
      <c r="J554">
        <f>MONTH(Table1[[#This Row],[Posting Date]])</f>
        <v>3</v>
      </c>
      <c r="K554" t="str">
        <f>IF(Table1[[#This Row],[Type]]="IN",VLOOKUP(Table1[[#This Row],[Cust '#]],ClientInfo!$A:$D,4,0),"")</f>
        <v/>
      </c>
      <c r="L554" s="1" t="str">
        <f>IF(K554="NET30",Table1[[#This Row],[Posting Date]]+30,IF(K554="NET15",Table1[[#This Row],[Posting Date]]+15,IF(K554="COD",Table1[[#This Row],[Posting Date]],"")))</f>
        <v/>
      </c>
      <c r="M554" s="4" t="str">
        <f>IFERROR(IF(Table1[[#This Row],[Type]]="IN",Table1[[#This Row],[RC Date]]-Table1[[#This Row],[Posting Date]],""),"")</f>
        <v/>
      </c>
      <c r="N554">
        <f>IFERROR(IF(Table1[[#This Row],[Balance Due (LC)]]&lt;&gt;0,$S$1-L554,0),"")</f>
        <v>0</v>
      </c>
      <c r="O554" t="str">
        <f>IFERROR(IF(Table1[[#This Row],[Type]]="IN",Table1[[#This Row],[C/D (LC)]],IF(Table1[[#This Row],[Type]]="CN",Table1[[#This Row],[C/D (LC)]],"")),"")</f>
        <v/>
      </c>
      <c r="P554" t="str">
        <f>VLOOKUP(Table1[[#This Row],[Cust '#]],ClientInfo!$A:$B,2,0)</f>
        <v>Client_06</v>
      </c>
    </row>
    <row r="555" spans="1:16">
      <c r="A555" t="s">
        <v>112</v>
      </c>
      <c r="B555" t="s">
        <v>10</v>
      </c>
      <c r="C555">
        <v>700003022</v>
      </c>
      <c r="D555" s="1">
        <v>45737</v>
      </c>
      <c r="E555">
        <v>-3268.73</v>
      </c>
      <c r="F555">
        <v>0</v>
      </c>
      <c r="G555">
        <v>700003022</v>
      </c>
      <c r="H555" s="1">
        <v>45737</v>
      </c>
      <c r="I555">
        <f>YEAR(Table1[[#This Row],[Posting Date]])</f>
        <v>2025</v>
      </c>
      <c r="J555">
        <f>MONTH(Table1[[#This Row],[Posting Date]])</f>
        <v>3</v>
      </c>
      <c r="K555" t="str">
        <f>IF(Table1[[#This Row],[Type]]="IN",VLOOKUP(Table1[[#This Row],[Cust '#]],ClientInfo!$A:$D,4,0),"")</f>
        <v/>
      </c>
      <c r="L555" s="1" t="str">
        <f>IF(K555="NET30",Table1[[#This Row],[Posting Date]]+30,IF(K555="NET15",Table1[[#This Row],[Posting Date]]+15,IF(K555="COD",Table1[[#This Row],[Posting Date]],"")))</f>
        <v/>
      </c>
      <c r="M555" s="4" t="str">
        <f>IFERROR(IF(Table1[[#This Row],[Type]]="IN",Table1[[#This Row],[RC Date]]-Table1[[#This Row],[Posting Date]],""),"")</f>
        <v/>
      </c>
      <c r="N555">
        <f>IFERROR(IF(Table1[[#This Row],[Balance Due (LC)]]&lt;&gt;0,$S$1-L555,0),"")</f>
        <v>0</v>
      </c>
      <c r="O555" t="str">
        <f>IFERROR(IF(Table1[[#This Row],[Type]]="IN",Table1[[#This Row],[C/D (LC)]],IF(Table1[[#This Row],[Type]]="CN",Table1[[#This Row],[C/D (LC)]],"")),"")</f>
        <v/>
      </c>
      <c r="P555" t="str">
        <f>VLOOKUP(Table1[[#This Row],[Cust '#]],ClientInfo!$A:$B,2,0)</f>
        <v>Client_06</v>
      </c>
    </row>
    <row r="556" spans="1:16">
      <c r="A556" t="s">
        <v>112</v>
      </c>
      <c r="B556" t="s">
        <v>12</v>
      </c>
      <c r="C556">
        <v>140022420</v>
      </c>
      <c r="D556" s="1">
        <v>45743</v>
      </c>
      <c r="E556">
        <v>2954.25</v>
      </c>
      <c r="F556">
        <v>0</v>
      </c>
      <c r="G556">
        <v>700003438</v>
      </c>
      <c r="H556" s="1">
        <v>45789</v>
      </c>
      <c r="I556">
        <f>YEAR(Table1[[#This Row],[Posting Date]])</f>
        <v>2025</v>
      </c>
      <c r="J556">
        <f>MONTH(Table1[[#This Row],[Posting Date]])</f>
        <v>3</v>
      </c>
      <c r="K556" t="str">
        <f>IF(Table1[[#This Row],[Type]]="IN",VLOOKUP(Table1[[#This Row],[Cust '#]],ClientInfo!$A:$D,4,0),"")</f>
        <v>NET30</v>
      </c>
      <c r="L556" s="1">
        <f>IF(K556="NET30",Table1[[#This Row],[Posting Date]]+30,IF(K556="NET15",Table1[[#This Row],[Posting Date]]+15,IF(K556="COD",Table1[[#This Row],[Posting Date]],"")))</f>
        <v>45773</v>
      </c>
      <c r="M556" s="4">
        <f>IFERROR(IF(Table1[[#This Row],[Type]]="IN",Table1[[#This Row],[RC Date]]-Table1[[#This Row],[Posting Date]],""),"")</f>
        <v>46</v>
      </c>
      <c r="N556">
        <f>IFERROR(IF(Table1[[#This Row],[Balance Due (LC)]]&lt;&gt;0,$S$1-L556,0),"")</f>
        <v>0</v>
      </c>
      <c r="O556">
        <f>IFERROR(IF(Table1[[#This Row],[Type]]="IN",Table1[[#This Row],[C/D (LC)]],IF(Table1[[#This Row],[Type]]="CN",Table1[[#This Row],[C/D (LC)]],"")),"")</f>
        <v>2954.25</v>
      </c>
      <c r="P556" t="str">
        <f>VLOOKUP(Table1[[#This Row],[Cust '#]],ClientInfo!$A:$B,2,0)</f>
        <v>Client_06</v>
      </c>
    </row>
    <row r="557" spans="1:16">
      <c r="A557" t="s">
        <v>112</v>
      </c>
      <c r="B557" t="s">
        <v>10</v>
      </c>
      <c r="C557">
        <v>700003098</v>
      </c>
      <c r="D557" s="1">
        <v>45748</v>
      </c>
      <c r="E557">
        <v>-558</v>
      </c>
      <c r="F557">
        <v>0</v>
      </c>
      <c r="G557">
        <v>700003098</v>
      </c>
      <c r="H557" s="1">
        <v>45748</v>
      </c>
      <c r="I557">
        <f>YEAR(Table1[[#This Row],[Posting Date]])</f>
        <v>2025</v>
      </c>
      <c r="J557">
        <f>MONTH(Table1[[#This Row],[Posting Date]])</f>
        <v>4</v>
      </c>
      <c r="K557" t="str">
        <f>IF(Table1[[#This Row],[Type]]="IN",VLOOKUP(Table1[[#This Row],[Cust '#]],ClientInfo!$A:$D,4,0),"")</f>
        <v/>
      </c>
      <c r="L557" s="1" t="str">
        <f>IF(K557="NET30",Table1[[#This Row],[Posting Date]]+30,IF(K557="NET15",Table1[[#This Row],[Posting Date]]+15,IF(K557="COD",Table1[[#This Row],[Posting Date]],"")))</f>
        <v/>
      </c>
      <c r="M557" s="4" t="str">
        <f>IFERROR(IF(Table1[[#This Row],[Type]]="IN",Table1[[#This Row],[RC Date]]-Table1[[#This Row],[Posting Date]],""),"")</f>
        <v/>
      </c>
      <c r="N557">
        <f>IFERROR(IF(Table1[[#This Row],[Balance Due (LC)]]&lt;&gt;0,$S$1-L557,0),"")</f>
        <v>0</v>
      </c>
      <c r="O557" t="str">
        <f>IFERROR(IF(Table1[[#This Row],[Type]]="IN",Table1[[#This Row],[C/D (LC)]],IF(Table1[[#This Row],[Type]]="CN",Table1[[#This Row],[C/D (LC)]],"")),"")</f>
        <v/>
      </c>
      <c r="P557" t="str">
        <f>VLOOKUP(Table1[[#This Row],[Cust '#]],ClientInfo!$A:$B,2,0)</f>
        <v>Client_06</v>
      </c>
    </row>
    <row r="558" spans="1:16">
      <c r="A558" t="s">
        <v>112</v>
      </c>
      <c r="B558" t="s">
        <v>10</v>
      </c>
      <c r="C558">
        <v>700003166</v>
      </c>
      <c r="D558" s="1">
        <v>45754</v>
      </c>
      <c r="E558">
        <v>-4432.95</v>
      </c>
      <c r="F558">
        <v>0</v>
      </c>
      <c r="G558">
        <v>700003166</v>
      </c>
      <c r="H558" s="1">
        <v>45754</v>
      </c>
      <c r="I558">
        <f>YEAR(Table1[[#This Row],[Posting Date]])</f>
        <v>2025</v>
      </c>
      <c r="J558">
        <f>MONTH(Table1[[#This Row],[Posting Date]])</f>
        <v>4</v>
      </c>
      <c r="K558" t="str">
        <f>IF(Table1[[#This Row],[Type]]="IN",VLOOKUP(Table1[[#This Row],[Cust '#]],ClientInfo!$A:$D,4,0),"")</f>
        <v/>
      </c>
      <c r="L558" s="1" t="str">
        <f>IF(K558="NET30",Table1[[#This Row],[Posting Date]]+30,IF(K558="NET15",Table1[[#This Row],[Posting Date]]+15,IF(K558="COD",Table1[[#This Row],[Posting Date]],"")))</f>
        <v/>
      </c>
      <c r="M558" s="4" t="str">
        <f>IFERROR(IF(Table1[[#This Row],[Type]]="IN",Table1[[#This Row],[RC Date]]-Table1[[#This Row],[Posting Date]],""),"")</f>
        <v/>
      </c>
      <c r="N558">
        <f>IFERROR(IF(Table1[[#This Row],[Balance Due (LC)]]&lt;&gt;0,$S$1-L558,0),"")</f>
        <v>0</v>
      </c>
      <c r="O558" t="str">
        <f>IFERROR(IF(Table1[[#This Row],[Type]]="IN",Table1[[#This Row],[C/D (LC)]],IF(Table1[[#This Row],[Type]]="CN",Table1[[#This Row],[C/D (LC)]],"")),"")</f>
        <v/>
      </c>
      <c r="P558" t="str">
        <f>VLOOKUP(Table1[[#This Row],[Cust '#]],ClientInfo!$A:$B,2,0)</f>
        <v>Client_06</v>
      </c>
    </row>
    <row r="559" spans="1:16">
      <c r="A559" t="s">
        <v>112</v>
      </c>
      <c r="B559" t="s">
        <v>12</v>
      </c>
      <c r="C559">
        <v>140023045</v>
      </c>
      <c r="D559" s="1">
        <v>45757</v>
      </c>
      <c r="E559">
        <v>2205.15</v>
      </c>
      <c r="F559">
        <v>0</v>
      </c>
      <c r="G559">
        <v>700003521</v>
      </c>
      <c r="H559" s="1">
        <v>45800</v>
      </c>
      <c r="I559">
        <f>YEAR(Table1[[#This Row],[Posting Date]])</f>
        <v>2025</v>
      </c>
      <c r="J559">
        <f>MONTH(Table1[[#This Row],[Posting Date]])</f>
        <v>4</v>
      </c>
      <c r="K559" t="str">
        <f>IF(Table1[[#This Row],[Type]]="IN",VLOOKUP(Table1[[#This Row],[Cust '#]],ClientInfo!$A:$D,4,0),"")</f>
        <v>NET30</v>
      </c>
      <c r="L559" s="1">
        <f>IF(K559="NET30",Table1[[#This Row],[Posting Date]]+30,IF(K559="NET15",Table1[[#This Row],[Posting Date]]+15,IF(K559="COD",Table1[[#This Row],[Posting Date]],"")))</f>
        <v>45787</v>
      </c>
      <c r="M559" s="4">
        <f>IFERROR(IF(Table1[[#This Row],[Type]]="IN",Table1[[#This Row],[RC Date]]-Table1[[#This Row],[Posting Date]],""),"")</f>
        <v>43</v>
      </c>
      <c r="N559">
        <f>IFERROR(IF(Table1[[#This Row],[Balance Due (LC)]]&lt;&gt;0,$S$1-L559,0),"")</f>
        <v>0</v>
      </c>
      <c r="O559">
        <f>IFERROR(IF(Table1[[#This Row],[Type]]="IN",Table1[[#This Row],[C/D (LC)]],IF(Table1[[#This Row],[Type]]="CN",Table1[[#This Row],[C/D (LC)]],"")),"")</f>
        <v>2205.15</v>
      </c>
      <c r="P559" t="str">
        <f>VLOOKUP(Table1[[#This Row],[Cust '#]],ClientInfo!$A:$B,2,0)</f>
        <v>Client_06</v>
      </c>
    </row>
    <row r="560" spans="1:16">
      <c r="A560" t="s">
        <v>112</v>
      </c>
      <c r="B560" t="s">
        <v>10</v>
      </c>
      <c r="C560">
        <v>700003283</v>
      </c>
      <c r="D560" s="1">
        <v>45765</v>
      </c>
      <c r="E560">
        <v>-2319.9299999999998</v>
      </c>
      <c r="F560">
        <v>0</v>
      </c>
      <c r="G560">
        <v>700003283</v>
      </c>
      <c r="H560" s="1">
        <v>45765</v>
      </c>
      <c r="I560">
        <f>YEAR(Table1[[#This Row],[Posting Date]])</f>
        <v>2025</v>
      </c>
      <c r="J560">
        <f>MONTH(Table1[[#This Row],[Posting Date]])</f>
        <v>4</v>
      </c>
      <c r="K560" t="str">
        <f>IF(Table1[[#This Row],[Type]]="IN",VLOOKUP(Table1[[#This Row],[Cust '#]],ClientInfo!$A:$D,4,0),"")</f>
        <v/>
      </c>
      <c r="L560" s="1" t="str">
        <f>IF(K560="NET30",Table1[[#This Row],[Posting Date]]+30,IF(K560="NET15",Table1[[#This Row],[Posting Date]]+15,IF(K560="COD",Table1[[#This Row],[Posting Date]],"")))</f>
        <v/>
      </c>
      <c r="M560" s="4" t="str">
        <f>IFERROR(IF(Table1[[#This Row],[Type]]="IN",Table1[[#This Row],[RC Date]]-Table1[[#This Row],[Posting Date]],""),"")</f>
        <v/>
      </c>
      <c r="N560">
        <f>IFERROR(IF(Table1[[#This Row],[Balance Due (LC)]]&lt;&gt;0,$S$1-L560,0),"")</f>
        <v>0</v>
      </c>
      <c r="O560" t="str">
        <f>IFERROR(IF(Table1[[#This Row],[Type]]="IN",Table1[[#This Row],[C/D (LC)]],IF(Table1[[#This Row],[Type]]="CN",Table1[[#This Row],[C/D (LC)]],"")),"")</f>
        <v/>
      </c>
      <c r="P560" t="str">
        <f>VLOOKUP(Table1[[#This Row],[Cust '#]],ClientInfo!$A:$B,2,0)</f>
        <v>Client_06</v>
      </c>
    </row>
    <row r="561" spans="1:16">
      <c r="A561" t="s">
        <v>112</v>
      </c>
      <c r="B561" t="s">
        <v>12</v>
      </c>
      <c r="C561">
        <v>140023643</v>
      </c>
      <c r="D561" s="1">
        <v>45771</v>
      </c>
      <c r="E561">
        <v>2886.93</v>
      </c>
      <c r="F561">
        <v>0</v>
      </c>
      <c r="G561">
        <v>700003593</v>
      </c>
      <c r="H561" s="1">
        <v>45807</v>
      </c>
      <c r="I561">
        <f>YEAR(Table1[[#This Row],[Posting Date]])</f>
        <v>2025</v>
      </c>
      <c r="J561">
        <f>MONTH(Table1[[#This Row],[Posting Date]])</f>
        <v>4</v>
      </c>
      <c r="K561" t="str">
        <f>IF(Table1[[#This Row],[Type]]="IN",VLOOKUP(Table1[[#This Row],[Cust '#]],ClientInfo!$A:$D,4,0),"")</f>
        <v>NET30</v>
      </c>
      <c r="L561" s="1">
        <f>IF(K561="NET30",Table1[[#This Row],[Posting Date]]+30,IF(K561="NET15",Table1[[#This Row],[Posting Date]]+15,IF(K561="COD",Table1[[#This Row],[Posting Date]],"")))</f>
        <v>45801</v>
      </c>
      <c r="M561" s="4">
        <f>IFERROR(IF(Table1[[#This Row],[Type]]="IN",Table1[[#This Row],[RC Date]]-Table1[[#This Row],[Posting Date]],""),"")</f>
        <v>36</v>
      </c>
      <c r="N561">
        <f>IFERROR(IF(Table1[[#This Row],[Balance Due (LC)]]&lt;&gt;0,$S$1-L561,0),"")</f>
        <v>0</v>
      </c>
      <c r="O561">
        <f>IFERROR(IF(Table1[[#This Row],[Type]]="IN",Table1[[#This Row],[C/D (LC)]],IF(Table1[[#This Row],[Type]]="CN",Table1[[#This Row],[C/D (LC)]],"")),"")</f>
        <v>2886.93</v>
      </c>
      <c r="P561" t="str">
        <f>VLOOKUP(Table1[[#This Row],[Cust '#]],ClientInfo!$A:$B,2,0)</f>
        <v>Client_06</v>
      </c>
    </row>
    <row r="562" spans="1:16">
      <c r="A562" t="s">
        <v>112</v>
      </c>
      <c r="B562" t="s">
        <v>12</v>
      </c>
      <c r="C562">
        <v>140024262</v>
      </c>
      <c r="D562" s="1">
        <v>45785</v>
      </c>
      <c r="E562">
        <v>3260.55</v>
      </c>
      <c r="F562">
        <v>0</v>
      </c>
      <c r="G562">
        <v>700003710</v>
      </c>
      <c r="H562" s="1">
        <v>45821</v>
      </c>
      <c r="I562">
        <f>YEAR(Table1[[#This Row],[Posting Date]])</f>
        <v>2025</v>
      </c>
      <c r="J562">
        <f>MONTH(Table1[[#This Row],[Posting Date]])</f>
        <v>5</v>
      </c>
      <c r="K562" t="str">
        <f>IF(Table1[[#This Row],[Type]]="IN",VLOOKUP(Table1[[#This Row],[Cust '#]],ClientInfo!$A:$D,4,0),"")</f>
        <v>NET30</v>
      </c>
      <c r="L562" s="1">
        <f>IF(K562="NET30",Table1[[#This Row],[Posting Date]]+30,IF(K562="NET15",Table1[[#This Row],[Posting Date]]+15,IF(K562="COD",Table1[[#This Row],[Posting Date]],"")))</f>
        <v>45815</v>
      </c>
      <c r="M562" s="4">
        <f>IFERROR(IF(Table1[[#This Row],[Type]]="IN",Table1[[#This Row],[RC Date]]-Table1[[#This Row],[Posting Date]],""),"")</f>
        <v>36</v>
      </c>
      <c r="N562">
        <f>IFERROR(IF(Table1[[#This Row],[Balance Due (LC)]]&lt;&gt;0,$S$1-L562,0),"")</f>
        <v>0</v>
      </c>
      <c r="O562">
        <f>IFERROR(IF(Table1[[#This Row],[Type]]="IN",Table1[[#This Row],[C/D (LC)]],IF(Table1[[#This Row],[Type]]="CN",Table1[[#This Row],[C/D (LC)]],"")),"")</f>
        <v>3260.55</v>
      </c>
      <c r="P562" t="str">
        <f>VLOOKUP(Table1[[#This Row],[Cust '#]],ClientInfo!$A:$B,2,0)</f>
        <v>Client_06</v>
      </c>
    </row>
    <row r="563" spans="1:16">
      <c r="A563" t="s">
        <v>112</v>
      </c>
      <c r="B563" t="s">
        <v>10</v>
      </c>
      <c r="C563">
        <v>700003438</v>
      </c>
      <c r="D563" s="1">
        <v>45789</v>
      </c>
      <c r="E563">
        <v>-2954.25</v>
      </c>
      <c r="F563">
        <v>0</v>
      </c>
      <c r="G563">
        <v>700003438</v>
      </c>
      <c r="H563" s="1">
        <v>45789</v>
      </c>
      <c r="I563">
        <f>YEAR(Table1[[#This Row],[Posting Date]])</f>
        <v>2025</v>
      </c>
      <c r="J563">
        <f>MONTH(Table1[[#This Row],[Posting Date]])</f>
        <v>5</v>
      </c>
      <c r="K563" t="str">
        <f>IF(Table1[[#This Row],[Type]]="IN",VLOOKUP(Table1[[#This Row],[Cust '#]],ClientInfo!$A:$D,4,0),"")</f>
        <v/>
      </c>
      <c r="L563" s="1" t="str">
        <f>IF(K563="NET30",Table1[[#This Row],[Posting Date]]+30,IF(K563="NET15",Table1[[#This Row],[Posting Date]]+15,IF(K563="COD",Table1[[#This Row],[Posting Date]],"")))</f>
        <v/>
      </c>
      <c r="M563" s="4" t="str">
        <f>IFERROR(IF(Table1[[#This Row],[Type]]="IN",Table1[[#This Row],[RC Date]]-Table1[[#This Row],[Posting Date]],""),"")</f>
        <v/>
      </c>
      <c r="N563">
        <f>IFERROR(IF(Table1[[#This Row],[Balance Due (LC)]]&lt;&gt;0,$S$1-L563,0),"")</f>
        <v>0</v>
      </c>
      <c r="O563" t="str">
        <f>IFERROR(IF(Table1[[#This Row],[Type]]="IN",Table1[[#This Row],[C/D (LC)]],IF(Table1[[#This Row],[Type]]="CN",Table1[[#This Row],[C/D (LC)]],"")),"")</f>
        <v/>
      </c>
      <c r="P563" t="str">
        <f>VLOOKUP(Table1[[#This Row],[Cust '#]],ClientInfo!$A:$B,2,0)</f>
        <v>Client_06</v>
      </c>
    </row>
    <row r="564" spans="1:16">
      <c r="A564" t="s">
        <v>112</v>
      </c>
      <c r="B564" t="s">
        <v>12</v>
      </c>
      <c r="C564">
        <v>140024893</v>
      </c>
      <c r="D564" s="1">
        <v>45799</v>
      </c>
      <c r="E564">
        <v>3915.88</v>
      </c>
      <c r="F564">
        <v>3915.88</v>
      </c>
      <c r="H564" s="1" t="s">
        <v>14</v>
      </c>
      <c r="I564">
        <f>YEAR(Table1[[#This Row],[Posting Date]])</f>
        <v>2025</v>
      </c>
      <c r="J564">
        <f>MONTH(Table1[[#This Row],[Posting Date]])</f>
        <v>5</v>
      </c>
      <c r="K564" t="str">
        <f>IF(Table1[[#This Row],[Type]]="IN",VLOOKUP(Table1[[#This Row],[Cust '#]],ClientInfo!$A:$D,4,0),"")</f>
        <v>NET30</v>
      </c>
      <c r="L564" s="1">
        <f>IF(K564="NET30",Table1[[#This Row],[Posting Date]]+30,IF(K564="NET15",Table1[[#This Row],[Posting Date]]+15,IF(K564="COD",Table1[[#This Row],[Posting Date]],"")))</f>
        <v>45829</v>
      </c>
      <c r="M564" s="4" t="str">
        <f>IFERROR(IF(Table1[[#This Row],[Type]]="IN",Table1[[#This Row],[RC Date]]-Table1[[#This Row],[Posting Date]],""),"")</f>
        <v/>
      </c>
      <c r="N564">
        <f>IFERROR(IF(Table1[[#This Row],[Balance Due (LC)]]&lt;&gt;0,$S$1-L564,0),"")</f>
        <v>-3</v>
      </c>
      <c r="O564">
        <f>IFERROR(IF(Table1[[#This Row],[Type]]="IN",Table1[[#This Row],[C/D (LC)]],IF(Table1[[#This Row],[Type]]="CN",Table1[[#This Row],[C/D (LC)]],"")),"")</f>
        <v>3915.88</v>
      </c>
      <c r="P564" t="str">
        <f>VLOOKUP(Table1[[#This Row],[Cust '#]],ClientInfo!$A:$B,2,0)</f>
        <v>Client_06</v>
      </c>
    </row>
    <row r="565" spans="1:16">
      <c r="A565" t="s">
        <v>112</v>
      </c>
      <c r="B565" t="s">
        <v>10</v>
      </c>
      <c r="C565">
        <v>700003521</v>
      </c>
      <c r="D565" s="1">
        <v>45800</v>
      </c>
      <c r="E565">
        <v>-2205.15</v>
      </c>
      <c r="F565">
        <v>0</v>
      </c>
      <c r="G565">
        <v>700003521</v>
      </c>
      <c r="H565" s="1">
        <v>45800</v>
      </c>
      <c r="I565">
        <f>YEAR(Table1[[#This Row],[Posting Date]])</f>
        <v>2025</v>
      </c>
      <c r="J565">
        <f>MONTH(Table1[[#This Row],[Posting Date]])</f>
        <v>5</v>
      </c>
      <c r="K565" t="str">
        <f>IF(Table1[[#This Row],[Type]]="IN",VLOOKUP(Table1[[#This Row],[Cust '#]],ClientInfo!$A:$D,4,0),"")</f>
        <v/>
      </c>
      <c r="L565" s="1" t="str">
        <f>IF(K565="NET30",Table1[[#This Row],[Posting Date]]+30,IF(K565="NET15",Table1[[#This Row],[Posting Date]]+15,IF(K565="COD",Table1[[#This Row],[Posting Date]],"")))</f>
        <v/>
      </c>
      <c r="M565" s="4" t="str">
        <f>IFERROR(IF(Table1[[#This Row],[Type]]="IN",Table1[[#This Row],[RC Date]]-Table1[[#This Row],[Posting Date]],""),"")</f>
        <v/>
      </c>
      <c r="N565">
        <f>IFERROR(IF(Table1[[#This Row],[Balance Due (LC)]]&lt;&gt;0,$S$1-L565,0),"")</f>
        <v>0</v>
      </c>
      <c r="O565" t="str">
        <f>IFERROR(IF(Table1[[#This Row],[Type]]="IN",Table1[[#This Row],[C/D (LC)]],IF(Table1[[#This Row],[Type]]="CN",Table1[[#This Row],[C/D (LC)]],"")),"")</f>
        <v/>
      </c>
      <c r="P565" t="str">
        <f>VLOOKUP(Table1[[#This Row],[Cust '#]],ClientInfo!$A:$B,2,0)</f>
        <v>Client_06</v>
      </c>
    </row>
    <row r="566" spans="1:16">
      <c r="A566" t="s">
        <v>112</v>
      </c>
      <c r="B566" t="s">
        <v>13</v>
      </c>
      <c r="C566">
        <v>150001142</v>
      </c>
      <c r="D566" s="1">
        <v>45804</v>
      </c>
      <c r="E566">
        <v>-62</v>
      </c>
      <c r="F566">
        <v>0</v>
      </c>
      <c r="G566">
        <v>150001176</v>
      </c>
      <c r="H566" s="1">
        <v>45819</v>
      </c>
      <c r="I566">
        <f>YEAR(Table1[[#This Row],[Posting Date]])</f>
        <v>2025</v>
      </c>
      <c r="J566">
        <f>MONTH(Table1[[#This Row],[Posting Date]])</f>
        <v>5</v>
      </c>
      <c r="K566" t="str">
        <f>IF(Table1[[#This Row],[Type]]="IN",VLOOKUP(Table1[[#This Row],[Cust '#]],ClientInfo!$A:$D,4,0),"")</f>
        <v/>
      </c>
      <c r="L566" s="1" t="str">
        <f>IF(K566="NET30",Table1[[#This Row],[Posting Date]]+30,IF(K566="NET15",Table1[[#This Row],[Posting Date]]+15,IF(K566="COD",Table1[[#This Row],[Posting Date]],"")))</f>
        <v/>
      </c>
      <c r="M566" s="4" t="str">
        <f>IFERROR(IF(Table1[[#This Row],[Type]]="IN",Table1[[#This Row],[RC Date]]-Table1[[#This Row],[Posting Date]],""),"")</f>
        <v/>
      </c>
      <c r="N566">
        <f>IFERROR(IF(Table1[[#This Row],[Balance Due (LC)]]&lt;&gt;0,$S$1-L566,0),"")</f>
        <v>0</v>
      </c>
      <c r="O566">
        <f>IFERROR(IF(Table1[[#This Row],[Type]]="IN",Table1[[#This Row],[C/D (LC)]],IF(Table1[[#This Row],[Type]]="CN",Table1[[#This Row],[C/D (LC)]],"")),"")</f>
        <v>-62</v>
      </c>
      <c r="P566" t="str">
        <f>VLOOKUP(Table1[[#This Row],[Cust '#]],ClientInfo!$A:$B,2,0)</f>
        <v>Client_06</v>
      </c>
    </row>
    <row r="567" spans="1:16">
      <c r="A567" t="s">
        <v>112</v>
      </c>
      <c r="B567" t="s">
        <v>10</v>
      </c>
      <c r="C567">
        <v>700003593</v>
      </c>
      <c r="D567" s="1">
        <v>45807</v>
      </c>
      <c r="E567">
        <v>-2886.93</v>
      </c>
      <c r="F567">
        <v>0</v>
      </c>
      <c r="G567">
        <v>700003593</v>
      </c>
      <c r="H567" s="1">
        <v>45807</v>
      </c>
      <c r="I567">
        <f>YEAR(Table1[[#This Row],[Posting Date]])</f>
        <v>2025</v>
      </c>
      <c r="J567">
        <f>MONTH(Table1[[#This Row],[Posting Date]])</f>
        <v>5</v>
      </c>
      <c r="K567" t="str">
        <f>IF(Table1[[#This Row],[Type]]="IN",VLOOKUP(Table1[[#This Row],[Cust '#]],ClientInfo!$A:$D,4,0),"")</f>
        <v/>
      </c>
      <c r="L567" s="1" t="str">
        <f>IF(K567="NET30",Table1[[#This Row],[Posting Date]]+30,IF(K567="NET15",Table1[[#This Row],[Posting Date]]+15,IF(K567="COD",Table1[[#This Row],[Posting Date]],"")))</f>
        <v/>
      </c>
      <c r="M567" s="4" t="str">
        <f>IFERROR(IF(Table1[[#This Row],[Type]]="IN",Table1[[#This Row],[RC Date]]-Table1[[#This Row],[Posting Date]],""),"")</f>
        <v/>
      </c>
      <c r="N567">
        <f>IFERROR(IF(Table1[[#This Row],[Balance Due (LC)]]&lt;&gt;0,$S$1-L567,0),"")</f>
        <v>0</v>
      </c>
      <c r="O567" t="str">
        <f>IFERROR(IF(Table1[[#This Row],[Type]]="IN",Table1[[#This Row],[C/D (LC)]],IF(Table1[[#This Row],[Type]]="CN",Table1[[#This Row],[C/D (LC)]],"")),"")</f>
        <v/>
      </c>
      <c r="P567" t="str">
        <f>VLOOKUP(Table1[[#This Row],[Cust '#]],ClientInfo!$A:$B,2,0)</f>
        <v>Client_06</v>
      </c>
    </row>
    <row r="568" spans="1:16">
      <c r="A568" t="s">
        <v>112</v>
      </c>
      <c r="B568" t="s">
        <v>12</v>
      </c>
      <c r="C568">
        <v>140025513</v>
      </c>
      <c r="D568" s="1">
        <v>45813</v>
      </c>
      <c r="E568">
        <v>3468.24</v>
      </c>
      <c r="F568">
        <v>3468.24</v>
      </c>
      <c r="H568" s="1" t="s">
        <v>14</v>
      </c>
      <c r="I568">
        <f>YEAR(Table1[[#This Row],[Posting Date]])</f>
        <v>2025</v>
      </c>
      <c r="J568">
        <f>MONTH(Table1[[#This Row],[Posting Date]])</f>
        <v>6</v>
      </c>
      <c r="K568" t="str">
        <f>IF(Table1[[#This Row],[Type]]="IN",VLOOKUP(Table1[[#This Row],[Cust '#]],ClientInfo!$A:$D,4,0),"")</f>
        <v>NET30</v>
      </c>
      <c r="L568" s="1">
        <f>IF(K568="NET30",Table1[[#This Row],[Posting Date]]+30,IF(K568="NET15",Table1[[#This Row],[Posting Date]]+15,IF(K568="COD",Table1[[#This Row],[Posting Date]],"")))</f>
        <v>45843</v>
      </c>
      <c r="M568" s="4" t="str">
        <f>IFERROR(IF(Table1[[#This Row],[Type]]="IN",Table1[[#This Row],[RC Date]]-Table1[[#This Row],[Posting Date]],""),"")</f>
        <v/>
      </c>
      <c r="N568">
        <f>IFERROR(IF(Table1[[#This Row],[Balance Due (LC)]]&lt;&gt;0,$S$1-L568,0),"")</f>
        <v>-17</v>
      </c>
      <c r="O568">
        <f>IFERROR(IF(Table1[[#This Row],[Type]]="IN",Table1[[#This Row],[C/D (LC)]],IF(Table1[[#This Row],[Type]]="CN",Table1[[#This Row],[C/D (LC)]],"")),"")</f>
        <v>3468.24</v>
      </c>
      <c r="P568" t="str">
        <f>VLOOKUP(Table1[[#This Row],[Cust '#]],ClientInfo!$A:$B,2,0)</f>
        <v>Client_06</v>
      </c>
    </row>
    <row r="569" spans="1:16">
      <c r="A569" t="s">
        <v>112</v>
      </c>
      <c r="B569" t="s">
        <v>13</v>
      </c>
      <c r="C569">
        <v>150001176</v>
      </c>
      <c r="D569" s="1">
        <v>45819</v>
      </c>
      <c r="E569">
        <v>62</v>
      </c>
      <c r="F569">
        <v>0</v>
      </c>
      <c r="G569">
        <v>150001176</v>
      </c>
      <c r="H569" s="1">
        <v>45819</v>
      </c>
      <c r="I569">
        <f>YEAR(Table1[[#This Row],[Posting Date]])</f>
        <v>2025</v>
      </c>
      <c r="J569">
        <f>MONTH(Table1[[#This Row],[Posting Date]])</f>
        <v>6</v>
      </c>
      <c r="K569" t="str">
        <f>IF(Table1[[#This Row],[Type]]="IN",VLOOKUP(Table1[[#This Row],[Cust '#]],ClientInfo!$A:$D,4,0),"")</f>
        <v/>
      </c>
      <c r="L569" s="1" t="str">
        <f>IF(K569="NET30",Table1[[#This Row],[Posting Date]]+30,IF(K569="NET15",Table1[[#This Row],[Posting Date]]+15,IF(K569="COD",Table1[[#This Row],[Posting Date]],"")))</f>
        <v/>
      </c>
      <c r="M569" s="4" t="str">
        <f>IFERROR(IF(Table1[[#This Row],[Type]]="IN",Table1[[#This Row],[RC Date]]-Table1[[#This Row],[Posting Date]],""),"")</f>
        <v/>
      </c>
      <c r="N569">
        <f>IFERROR(IF(Table1[[#This Row],[Balance Due (LC)]]&lt;&gt;0,$S$1-L569,0),"")</f>
        <v>0</v>
      </c>
      <c r="O569">
        <f>IFERROR(IF(Table1[[#This Row],[Type]]="IN",Table1[[#This Row],[C/D (LC)]],IF(Table1[[#This Row],[Type]]="CN",Table1[[#This Row],[C/D (LC)]],"")),"")</f>
        <v>62</v>
      </c>
      <c r="P569" t="str">
        <f>VLOOKUP(Table1[[#This Row],[Cust '#]],ClientInfo!$A:$B,2,0)</f>
        <v>Client_06</v>
      </c>
    </row>
    <row r="570" spans="1:16">
      <c r="A570" t="s">
        <v>112</v>
      </c>
      <c r="B570" t="s">
        <v>10</v>
      </c>
      <c r="C570">
        <v>700003710</v>
      </c>
      <c r="D570" s="1">
        <v>45821</v>
      </c>
      <c r="E570">
        <v>-3260.55</v>
      </c>
      <c r="F570">
        <v>0</v>
      </c>
      <c r="G570">
        <v>700003710</v>
      </c>
      <c r="H570" s="1">
        <v>45821</v>
      </c>
      <c r="I570">
        <f>YEAR(Table1[[#This Row],[Posting Date]])</f>
        <v>2025</v>
      </c>
      <c r="J570">
        <f>MONTH(Table1[[#This Row],[Posting Date]])</f>
        <v>6</v>
      </c>
      <c r="K570" t="str">
        <f>IF(Table1[[#This Row],[Type]]="IN",VLOOKUP(Table1[[#This Row],[Cust '#]],ClientInfo!$A:$D,4,0),"")</f>
        <v/>
      </c>
      <c r="L570" s="1" t="str">
        <f>IF(K570="NET30",Table1[[#This Row],[Posting Date]]+30,IF(K570="NET15",Table1[[#This Row],[Posting Date]]+15,IF(K570="COD",Table1[[#This Row],[Posting Date]],"")))</f>
        <v/>
      </c>
      <c r="M570" s="4" t="str">
        <f>IFERROR(IF(Table1[[#This Row],[Type]]="IN",Table1[[#This Row],[RC Date]]-Table1[[#This Row],[Posting Date]],""),"")</f>
        <v/>
      </c>
      <c r="N570">
        <f>IFERROR(IF(Table1[[#This Row],[Balance Due (LC)]]&lt;&gt;0,$S$1-L570,0),"")</f>
        <v>0</v>
      </c>
      <c r="O570" t="str">
        <f>IFERROR(IF(Table1[[#This Row],[Type]]="IN",Table1[[#This Row],[C/D (LC)]],IF(Table1[[#This Row],[Type]]="CN",Table1[[#This Row],[C/D (LC)]],"")),"")</f>
        <v/>
      </c>
      <c r="P570" t="str">
        <f>VLOOKUP(Table1[[#This Row],[Cust '#]],ClientInfo!$A:$B,2,0)</f>
        <v>Client_06</v>
      </c>
    </row>
    <row r="571" spans="1:16">
      <c r="A571" t="s">
        <v>113</v>
      </c>
      <c r="B571" t="s">
        <v>12</v>
      </c>
      <c r="C571">
        <v>140003905</v>
      </c>
      <c r="D571" s="1">
        <v>45316</v>
      </c>
      <c r="E571">
        <v>2159.8000000000002</v>
      </c>
      <c r="F571">
        <v>0</v>
      </c>
      <c r="G571">
        <v>700000363</v>
      </c>
      <c r="H571" s="1">
        <v>45390</v>
      </c>
      <c r="I571">
        <f>YEAR(Table1[[#This Row],[Posting Date]])</f>
        <v>2024</v>
      </c>
      <c r="J571">
        <f>MONTH(Table1[[#This Row],[Posting Date]])</f>
        <v>1</v>
      </c>
      <c r="K571" t="str">
        <f>IF(Table1[[#This Row],[Type]]="IN",VLOOKUP(Table1[[#This Row],[Cust '#]],ClientInfo!$A:$D,4,0),"")</f>
        <v>COD</v>
      </c>
      <c r="L571" s="1">
        <f>IF(K571="NET30",Table1[[#This Row],[Posting Date]]+30,IF(K571="NET15",Table1[[#This Row],[Posting Date]]+15,IF(K571="COD",Table1[[#This Row],[Posting Date]],"")))</f>
        <v>45316</v>
      </c>
      <c r="M571" s="4">
        <f>IFERROR(IF(Table1[[#This Row],[Type]]="IN",Table1[[#This Row],[RC Date]]-Table1[[#This Row],[Posting Date]],""),"")</f>
        <v>74</v>
      </c>
      <c r="N571">
        <f>IFERROR(IF(Table1[[#This Row],[Balance Due (LC)]]&lt;&gt;0,$S$1-L571,0),"")</f>
        <v>0</v>
      </c>
      <c r="O571">
        <f>IFERROR(IF(Table1[[#This Row],[Type]]="IN",Table1[[#This Row],[C/D (LC)]],IF(Table1[[#This Row],[Type]]="CN",Table1[[#This Row],[C/D (LC)]],"")),"")</f>
        <v>2159.8000000000002</v>
      </c>
      <c r="P571" t="str">
        <f>VLOOKUP(Table1[[#This Row],[Cust '#]],ClientInfo!$A:$B,2,0)</f>
        <v>Client_07</v>
      </c>
    </row>
    <row r="572" spans="1:16">
      <c r="A572" t="s">
        <v>113</v>
      </c>
      <c r="B572" t="s">
        <v>12</v>
      </c>
      <c r="C572">
        <v>140003906</v>
      </c>
      <c r="D572" s="1">
        <v>45323</v>
      </c>
      <c r="E572">
        <v>2101.5</v>
      </c>
      <c r="F572">
        <v>0</v>
      </c>
      <c r="G572">
        <v>700000363</v>
      </c>
      <c r="H572" s="1">
        <v>45390</v>
      </c>
      <c r="I572">
        <f>YEAR(Table1[[#This Row],[Posting Date]])</f>
        <v>2024</v>
      </c>
      <c r="J572">
        <f>MONTH(Table1[[#This Row],[Posting Date]])</f>
        <v>2</v>
      </c>
      <c r="K572" t="str">
        <f>IF(Table1[[#This Row],[Type]]="IN",VLOOKUP(Table1[[#This Row],[Cust '#]],ClientInfo!$A:$D,4,0),"")</f>
        <v>COD</v>
      </c>
      <c r="L572" s="1">
        <f>IF(K572="NET30",Table1[[#This Row],[Posting Date]]+30,IF(K572="NET15",Table1[[#This Row],[Posting Date]]+15,IF(K572="COD",Table1[[#This Row],[Posting Date]],"")))</f>
        <v>45323</v>
      </c>
      <c r="M572" s="4">
        <f>IFERROR(IF(Table1[[#This Row],[Type]]="IN",Table1[[#This Row],[RC Date]]-Table1[[#This Row],[Posting Date]],""),"")</f>
        <v>67</v>
      </c>
      <c r="N572">
        <f>IFERROR(IF(Table1[[#This Row],[Balance Due (LC)]]&lt;&gt;0,$S$1-L572,0),"")</f>
        <v>0</v>
      </c>
      <c r="O572">
        <f>IFERROR(IF(Table1[[#This Row],[Type]]="IN",Table1[[#This Row],[C/D (LC)]],IF(Table1[[#This Row],[Type]]="CN",Table1[[#This Row],[C/D (LC)]],"")),"")</f>
        <v>2101.5</v>
      </c>
      <c r="P572" t="str">
        <f>VLOOKUP(Table1[[#This Row],[Cust '#]],ClientInfo!$A:$B,2,0)</f>
        <v>Client_07</v>
      </c>
    </row>
    <row r="573" spans="1:16">
      <c r="A573" t="s">
        <v>113</v>
      </c>
      <c r="B573" t="s">
        <v>12</v>
      </c>
      <c r="C573">
        <v>140003907</v>
      </c>
      <c r="D573" s="1">
        <v>45351</v>
      </c>
      <c r="E573">
        <v>2742.9</v>
      </c>
      <c r="F573">
        <v>0</v>
      </c>
      <c r="G573">
        <v>700000363</v>
      </c>
      <c r="H573" s="1">
        <v>45390</v>
      </c>
      <c r="I573">
        <f>YEAR(Table1[[#This Row],[Posting Date]])</f>
        <v>2024</v>
      </c>
      <c r="J573">
        <f>MONTH(Table1[[#This Row],[Posting Date]])</f>
        <v>2</v>
      </c>
      <c r="K573" t="str">
        <f>IF(Table1[[#This Row],[Type]]="IN",VLOOKUP(Table1[[#This Row],[Cust '#]],ClientInfo!$A:$D,4,0),"")</f>
        <v>COD</v>
      </c>
      <c r="L573" s="1">
        <f>IF(K573="NET30",Table1[[#This Row],[Posting Date]]+30,IF(K573="NET15",Table1[[#This Row],[Posting Date]]+15,IF(K573="COD",Table1[[#This Row],[Posting Date]],"")))</f>
        <v>45351</v>
      </c>
      <c r="M573" s="4">
        <f>IFERROR(IF(Table1[[#This Row],[Type]]="IN",Table1[[#This Row],[RC Date]]-Table1[[#This Row],[Posting Date]],""),"")</f>
        <v>39</v>
      </c>
      <c r="N573">
        <f>IFERROR(IF(Table1[[#This Row],[Balance Due (LC)]]&lt;&gt;0,$S$1-L573,0),"")</f>
        <v>0</v>
      </c>
      <c r="O573">
        <f>IFERROR(IF(Table1[[#This Row],[Type]]="IN",Table1[[#This Row],[C/D (LC)]],IF(Table1[[#This Row],[Type]]="CN",Table1[[#This Row],[C/D (LC)]],"")),"")</f>
        <v>2742.9</v>
      </c>
      <c r="P573" t="str">
        <f>VLOOKUP(Table1[[#This Row],[Cust '#]],ClientInfo!$A:$B,2,0)</f>
        <v>Client_07</v>
      </c>
    </row>
    <row r="574" spans="1:16">
      <c r="A574" t="s">
        <v>113</v>
      </c>
      <c r="B574" t="s">
        <v>12</v>
      </c>
      <c r="C574">
        <v>140004659</v>
      </c>
      <c r="D574" s="1">
        <v>45358</v>
      </c>
      <c r="E574">
        <v>2306.3000000000002</v>
      </c>
      <c r="F574">
        <v>0</v>
      </c>
      <c r="G574">
        <v>700000363</v>
      </c>
      <c r="H574" s="1">
        <v>45390</v>
      </c>
      <c r="I574">
        <f>YEAR(Table1[[#This Row],[Posting Date]])</f>
        <v>2024</v>
      </c>
      <c r="J574">
        <f>MONTH(Table1[[#This Row],[Posting Date]])</f>
        <v>3</v>
      </c>
      <c r="K574" t="str">
        <f>IF(Table1[[#This Row],[Type]]="IN",VLOOKUP(Table1[[#This Row],[Cust '#]],ClientInfo!$A:$D,4,0),"")</f>
        <v>COD</v>
      </c>
      <c r="L574" s="1">
        <f>IF(K574="NET30",Table1[[#This Row],[Posting Date]]+30,IF(K574="NET15",Table1[[#This Row],[Posting Date]]+15,IF(K574="COD",Table1[[#This Row],[Posting Date]],"")))</f>
        <v>45358</v>
      </c>
      <c r="M574" s="4">
        <f>IFERROR(IF(Table1[[#This Row],[Type]]="IN",Table1[[#This Row],[RC Date]]-Table1[[#This Row],[Posting Date]],""),"")</f>
        <v>32</v>
      </c>
      <c r="N574">
        <f>IFERROR(IF(Table1[[#This Row],[Balance Due (LC)]]&lt;&gt;0,$S$1-L574,0),"")</f>
        <v>0</v>
      </c>
      <c r="O574">
        <f>IFERROR(IF(Table1[[#This Row],[Type]]="IN",Table1[[#This Row],[C/D (LC)]],IF(Table1[[#This Row],[Type]]="CN",Table1[[#This Row],[C/D (LC)]],"")),"")</f>
        <v>2306.3000000000002</v>
      </c>
      <c r="P574" t="str">
        <f>VLOOKUP(Table1[[#This Row],[Cust '#]],ClientInfo!$A:$B,2,0)</f>
        <v>Client_07</v>
      </c>
    </row>
    <row r="575" spans="1:16">
      <c r="A575" t="s">
        <v>113</v>
      </c>
      <c r="B575" t="s">
        <v>10</v>
      </c>
      <c r="C575">
        <v>700000363</v>
      </c>
      <c r="D575" s="1">
        <v>45390</v>
      </c>
      <c r="E575">
        <v>-9310.5</v>
      </c>
      <c r="F575">
        <v>0</v>
      </c>
      <c r="G575">
        <v>700000363</v>
      </c>
      <c r="H575" s="1">
        <v>45390</v>
      </c>
      <c r="I575">
        <f>YEAR(Table1[[#This Row],[Posting Date]])</f>
        <v>2024</v>
      </c>
      <c r="J575">
        <f>MONTH(Table1[[#This Row],[Posting Date]])</f>
        <v>4</v>
      </c>
      <c r="K575" t="str">
        <f>IF(Table1[[#This Row],[Type]]="IN",VLOOKUP(Table1[[#This Row],[Cust '#]],ClientInfo!$A:$D,4,0),"")</f>
        <v/>
      </c>
      <c r="L575" s="1" t="str">
        <f>IF(K575="NET30",Table1[[#This Row],[Posting Date]]+30,IF(K575="NET15",Table1[[#This Row],[Posting Date]]+15,IF(K575="COD",Table1[[#This Row],[Posting Date]],"")))</f>
        <v/>
      </c>
      <c r="M575" s="4" t="str">
        <f>IFERROR(IF(Table1[[#This Row],[Type]]="IN",Table1[[#This Row],[RC Date]]-Table1[[#This Row],[Posting Date]],""),"")</f>
        <v/>
      </c>
      <c r="N575">
        <f>IFERROR(IF(Table1[[#This Row],[Balance Due (LC)]]&lt;&gt;0,$S$1-L575,0),"")</f>
        <v>0</v>
      </c>
      <c r="O575" t="str">
        <f>IFERROR(IF(Table1[[#This Row],[Type]]="IN",Table1[[#This Row],[C/D (LC)]],IF(Table1[[#This Row],[Type]]="CN",Table1[[#This Row],[C/D (LC)]],"")),"")</f>
        <v/>
      </c>
      <c r="P575" t="str">
        <f>VLOOKUP(Table1[[#This Row],[Cust '#]],ClientInfo!$A:$B,2,0)</f>
        <v>Client_07</v>
      </c>
    </row>
    <row r="576" spans="1:16">
      <c r="A576" t="s">
        <v>113</v>
      </c>
      <c r="B576" t="s">
        <v>12</v>
      </c>
      <c r="C576">
        <v>140006245</v>
      </c>
      <c r="D576" s="1">
        <v>45393</v>
      </c>
      <c r="E576">
        <v>1598.4</v>
      </c>
      <c r="F576">
        <v>0</v>
      </c>
      <c r="G576">
        <v>700000643</v>
      </c>
      <c r="H576" s="1">
        <v>45427</v>
      </c>
      <c r="I576">
        <f>YEAR(Table1[[#This Row],[Posting Date]])</f>
        <v>2024</v>
      </c>
      <c r="J576">
        <f>MONTH(Table1[[#This Row],[Posting Date]])</f>
        <v>4</v>
      </c>
      <c r="K576" t="str">
        <f>IF(Table1[[#This Row],[Type]]="IN",VLOOKUP(Table1[[#This Row],[Cust '#]],ClientInfo!$A:$D,4,0),"")</f>
        <v>COD</v>
      </c>
      <c r="L576" s="1">
        <f>IF(K576="NET30",Table1[[#This Row],[Posting Date]]+30,IF(K576="NET15",Table1[[#This Row],[Posting Date]]+15,IF(K576="COD",Table1[[#This Row],[Posting Date]],"")))</f>
        <v>45393</v>
      </c>
      <c r="M576" s="4">
        <f>IFERROR(IF(Table1[[#This Row],[Type]]="IN",Table1[[#This Row],[RC Date]]-Table1[[#This Row],[Posting Date]],""),"")</f>
        <v>34</v>
      </c>
      <c r="N576">
        <f>IFERROR(IF(Table1[[#This Row],[Balance Due (LC)]]&lt;&gt;0,$S$1-L576,0),"")</f>
        <v>0</v>
      </c>
      <c r="O576">
        <f>IFERROR(IF(Table1[[#This Row],[Type]]="IN",Table1[[#This Row],[C/D (LC)]],IF(Table1[[#This Row],[Type]]="CN",Table1[[#This Row],[C/D (LC)]],"")),"")</f>
        <v>1598.4</v>
      </c>
      <c r="P576" t="str">
        <f>VLOOKUP(Table1[[#This Row],[Cust '#]],ClientInfo!$A:$B,2,0)</f>
        <v>Client_07</v>
      </c>
    </row>
    <row r="577" spans="1:16">
      <c r="A577" t="s">
        <v>113</v>
      </c>
      <c r="B577" t="s">
        <v>12</v>
      </c>
      <c r="C577">
        <v>140006582</v>
      </c>
      <c r="D577" s="1">
        <v>45400</v>
      </c>
      <c r="E577">
        <v>5258.9</v>
      </c>
      <c r="F577">
        <v>0</v>
      </c>
      <c r="G577">
        <v>700000643</v>
      </c>
      <c r="H577" s="1">
        <v>45427</v>
      </c>
      <c r="I577">
        <f>YEAR(Table1[[#This Row],[Posting Date]])</f>
        <v>2024</v>
      </c>
      <c r="J577">
        <f>MONTH(Table1[[#This Row],[Posting Date]])</f>
        <v>4</v>
      </c>
      <c r="K577" t="str">
        <f>IF(Table1[[#This Row],[Type]]="IN",VLOOKUP(Table1[[#This Row],[Cust '#]],ClientInfo!$A:$D,4,0),"")</f>
        <v>COD</v>
      </c>
      <c r="L577" s="1">
        <f>IF(K577="NET30",Table1[[#This Row],[Posting Date]]+30,IF(K577="NET15",Table1[[#This Row],[Posting Date]]+15,IF(K577="COD",Table1[[#This Row],[Posting Date]],"")))</f>
        <v>45400</v>
      </c>
      <c r="M577" s="4">
        <f>IFERROR(IF(Table1[[#This Row],[Type]]="IN",Table1[[#This Row],[RC Date]]-Table1[[#This Row],[Posting Date]],""),"")</f>
        <v>27</v>
      </c>
      <c r="N577">
        <f>IFERROR(IF(Table1[[#This Row],[Balance Due (LC)]]&lt;&gt;0,$S$1-L577,0),"")</f>
        <v>0</v>
      </c>
      <c r="O577">
        <f>IFERROR(IF(Table1[[#This Row],[Type]]="IN",Table1[[#This Row],[C/D (LC)]],IF(Table1[[#This Row],[Type]]="CN",Table1[[#This Row],[C/D (LC)]],"")),"")</f>
        <v>5258.9</v>
      </c>
      <c r="P577" t="str">
        <f>VLOOKUP(Table1[[#This Row],[Cust '#]],ClientInfo!$A:$B,2,0)</f>
        <v>Client_07</v>
      </c>
    </row>
    <row r="578" spans="1:16">
      <c r="A578" t="s">
        <v>113</v>
      </c>
      <c r="B578" t="s">
        <v>12</v>
      </c>
      <c r="C578">
        <v>140006905</v>
      </c>
      <c r="D578" s="1">
        <v>45407</v>
      </c>
      <c r="E578">
        <v>1673.3</v>
      </c>
      <c r="F578">
        <v>0</v>
      </c>
      <c r="G578">
        <v>700000643</v>
      </c>
      <c r="H578" s="1">
        <v>45427</v>
      </c>
      <c r="I578">
        <f>YEAR(Table1[[#This Row],[Posting Date]])</f>
        <v>2024</v>
      </c>
      <c r="J578">
        <f>MONTH(Table1[[#This Row],[Posting Date]])</f>
        <v>4</v>
      </c>
      <c r="K578" t="str">
        <f>IF(Table1[[#This Row],[Type]]="IN",VLOOKUP(Table1[[#This Row],[Cust '#]],ClientInfo!$A:$D,4,0),"")</f>
        <v>COD</v>
      </c>
      <c r="L578" s="1">
        <f>IF(K578="NET30",Table1[[#This Row],[Posting Date]]+30,IF(K578="NET15",Table1[[#This Row],[Posting Date]]+15,IF(K578="COD",Table1[[#This Row],[Posting Date]],"")))</f>
        <v>45407</v>
      </c>
      <c r="M578" s="4">
        <f>IFERROR(IF(Table1[[#This Row],[Type]]="IN",Table1[[#This Row],[RC Date]]-Table1[[#This Row],[Posting Date]],""),"")</f>
        <v>20</v>
      </c>
      <c r="N578">
        <f>IFERROR(IF(Table1[[#This Row],[Balance Due (LC)]]&lt;&gt;0,$S$1-L578,0),"")</f>
        <v>0</v>
      </c>
      <c r="O578">
        <f>IFERROR(IF(Table1[[#This Row],[Type]]="IN",Table1[[#This Row],[C/D (LC)]],IF(Table1[[#This Row],[Type]]="CN",Table1[[#This Row],[C/D (LC)]],"")),"")</f>
        <v>1673.3</v>
      </c>
      <c r="P578" t="str">
        <f>VLOOKUP(Table1[[#This Row],[Cust '#]],ClientInfo!$A:$B,2,0)</f>
        <v>Client_07</v>
      </c>
    </row>
    <row r="579" spans="1:16">
      <c r="A579" t="s">
        <v>113</v>
      </c>
      <c r="B579" t="s">
        <v>12</v>
      </c>
      <c r="C579">
        <v>140007582</v>
      </c>
      <c r="D579" s="1">
        <v>45421</v>
      </c>
      <c r="E579">
        <v>2417.9</v>
      </c>
      <c r="F579">
        <v>0</v>
      </c>
      <c r="G579">
        <v>700000643</v>
      </c>
      <c r="H579" s="1">
        <v>45427</v>
      </c>
      <c r="I579">
        <f>YEAR(Table1[[#This Row],[Posting Date]])</f>
        <v>2024</v>
      </c>
      <c r="J579">
        <f>MONTH(Table1[[#This Row],[Posting Date]])</f>
        <v>5</v>
      </c>
      <c r="K579" t="str">
        <f>IF(Table1[[#This Row],[Type]]="IN",VLOOKUP(Table1[[#This Row],[Cust '#]],ClientInfo!$A:$D,4,0),"")</f>
        <v>COD</v>
      </c>
      <c r="L579" s="1">
        <f>IF(K579="NET30",Table1[[#This Row],[Posting Date]]+30,IF(K579="NET15",Table1[[#This Row],[Posting Date]]+15,IF(K579="COD",Table1[[#This Row],[Posting Date]],"")))</f>
        <v>45421</v>
      </c>
      <c r="M579" s="4">
        <f>IFERROR(IF(Table1[[#This Row],[Type]]="IN",Table1[[#This Row],[RC Date]]-Table1[[#This Row],[Posting Date]],""),"")</f>
        <v>6</v>
      </c>
      <c r="N579">
        <f>IFERROR(IF(Table1[[#This Row],[Balance Due (LC)]]&lt;&gt;0,$S$1-L579,0),"")</f>
        <v>0</v>
      </c>
      <c r="O579">
        <f>IFERROR(IF(Table1[[#This Row],[Type]]="IN",Table1[[#This Row],[C/D (LC)]],IF(Table1[[#This Row],[Type]]="CN",Table1[[#This Row],[C/D (LC)]],"")),"")</f>
        <v>2417.9</v>
      </c>
      <c r="P579" t="str">
        <f>VLOOKUP(Table1[[#This Row],[Cust '#]],ClientInfo!$A:$B,2,0)</f>
        <v>Client_07</v>
      </c>
    </row>
    <row r="580" spans="1:16">
      <c r="A580" t="s">
        <v>113</v>
      </c>
      <c r="B580" t="s">
        <v>10</v>
      </c>
      <c r="C580">
        <v>700000643</v>
      </c>
      <c r="D580" s="1">
        <v>45427</v>
      </c>
      <c r="E580">
        <v>-10948.5</v>
      </c>
      <c r="F580">
        <v>0</v>
      </c>
      <c r="G580">
        <v>700000643</v>
      </c>
      <c r="H580" s="1">
        <v>45427</v>
      </c>
      <c r="I580">
        <f>YEAR(Table1[[#This Row],[Posting Date]])</f>
        <v>2024</v>
      </c>
      <c r="J580">
        <f>MONTH(Table1[[#This Row],[Posting Date]])</f>
        <v>5</v>
      </c>
      <c r="K580" t="str">
        <f>IF(Table1[[#This Row],[Type]]="IN",VLOOKUP(Table1[[#This Row],[Cust '#]],ClientInfo!$A:$D,4,0),"")</f>
        <v/>
      </c>
      <c r="L580" s="1" t="str">
        <f>IF(K580="NET30",Table1[[#This Row],[Posting Date]]+30,IF(K580="NET15",Table1[[#This Row],[Posting Date]]+15,IF(K580="COD",Table1[[#This Row],[Posting Date]],"")))</f>
        <v/>
      </c>
      <c r="M580" s="4" t="str">
        <f>IFERROR(IF(Table1[[#This Row],[Type]]="IN",Table1[[#This Row],[RC Date]]-Table1[[#This Row],[Posting Date]],""),"")</f>
        <v/>
      </c>
      <c r="N580">
        <f>IFERROR(IF(Table1[[#This Row],[Balance Due (LC)]]&lt;&gt;0,$S$1-L580,0),"")</f>
        <v>0</v>
      </c>
      <c r="O580" t="str">
        <f>IFERROR(IF(Table1[[#This Row],[Type]]="IN",Table1[[#This Row],[C/D (LC)]],IF(Table1[[#This Row],[Type]]="CN",Table1[[#This Row],[C/D (LC)]],"")),"")</f>
        <v/>
      </c>
      <c r="P580" t="str">
        <f>VLOOKUP(Table1[[#This Row],[Cust '#]],ClientInfo!$A:$B,2,0)</f>
        <v>Client_07</v>
      </c>
    </row>
    <row r="581" spans="1:16">
      <c r="A581" t="s">
        <v>113</v>
      </c>
      <c r="B581" t="s">
        <v>12</v>
      </c>
      <c r="C581">
        <v>140007921</v>
      </c>
      <c r="D581" s="1">
        <v>45428</v>
      </c>
      <c r="E581">
        <v>2487.3000000000002</v>
      </c>
      <c r="F581">
        <v>0</v>
      </c>
      <c r="G581">
        <v>700000913</v>
      </c>
      <c r="H581" s="1">
        <v>45460</v>
      </c>
      <c r="I581">
        <f>YEAR(Table1[[#This Row],[Posting Date]])</f>
        <v>2024</v>
      </c>
      <c r="J581">
        <f>MONTH(Table1[[#This Row],[Posting Date]])</f>
        <v>5</v>
      </c>
      <c r="K581" t="str">
        <f>IF(Table1[[#This Row],[Type]]="IN",VLOOKUP(Table1[[#This Row],[Cust '#]],ClientInfo!$A:$D,4,0),"")</f>
        <v>COD</v>
      </c>
      <c r="L581" s="1">
        <f>IF(K581="NET30",Table1[[#This Row],[Posting Date]]+30,IF(K581="NET15",Table1[[#This Row],[Posting Date]]+15,IF(K581="COD",Table1[[#This Row],[Posting Date]],"")))</f>
        <v>45428</v>
      </c>
      <c r="M581" s="4">
        <f>IFERROR(IF(Table1[[#This Row],[Type]]="IN",Table1[[#This Row],[RC Date]]-Table1[[#This Row],[Posting Date]],""),"")</f>
        <v>32</v>
      </c>
      <c r="N581">
        <f>IFERROR(IF(Table1[[#This Row],[Balance Due (LC)]]&lt;&gt;0,$S$1-L581,0),"")</f>
        <v>0</v>
      </c>
      <c r="O581">
        <f>IFERROR(IF(Table1[[#This Row],[Type]]="IN",Table1[[#This Row],[C/D (LC)]],IF(Table1[[#This Row],[Type]]="CN",Table1[[#This Row],[C/D (LC)]],"")),"")</f>
        <v>2487.3000000000002</v>
      </c>
      <c r="P581" t="str">
        <f>VLOOKUP(Table1[[#This Row],[Cust '#]],ClientInfo!$A:$B,2,0)</f>
        <v>Client_07</v>
      </c>
    </row>
    <row r="582" spans="1:16">
      <c r="A582" t="s">
        <v>113</v>
      </c>
      <c r="B582" t="s">
        <v>12</v>
      </c>
      <c r="C582">
        <v>140008528</v>
      </c>
      <c r="D582" s="1">
        <v>45442</v>
      </c>
      <c r="E582">
        <v>1737.1</v>
      </c>
      <c r="F582">
        <v>0</v>
      </c>
      <c r="G582">
        <v>700000913</v>
      </c>
      <c r="H582" s="1">
        <v>45460</v>
      </c>
      <c r="I582">
        <f>YEAR(Table1[[#This Row],[Posting Date]])</f>
        <v>2024</v>
      </c>
      <c r="J582">
        <f>MONTH(Table1[[#This Row],[Posting Date]])</f>
        <v>5</v>
      </c>
      <c r="K582" t="str">
        <f>IF(Table1[[#This Row],[Type]]="IN",VLOOKUP(Table1[[#This Row],[Cust '#]],ClientInfo!$A:$D,4,0),"")</f>
        <v>COD</v>
      </c>
      <c r="L582" s="1">
        <f>IF(K582="NET30",Table1[[#This Row],[Posting Date]]+30,IF(K582="NET15",Table1[[#This Row],[Posting Date]]+15,IF(K582="COD",Table1[[#This Row],[Posting Date]],"")))</f>
        <v>45442</v>
      </c>
      <c r="M582" s="4">
        <f>IFERROR(IF(Table1[[#This Row],[Type]]="IN",Table1[[#This Row],[RC Date]]-Table1[[#This Row],[Posting Date]],""),"")</f>
        <v>18</v>
      </c>
      <c r="N582">
        <f>IFERROR(IF(Table1[[#This Row],[Balance Due (LC)]]&lt;&gt;0,$S$1-L582,0),"")</f>
        <v>0</v>
      </c>
      <c r="O582">
        <f>IFERROR(IF(Table1[[#This Row],[Type]]="IN",Table1[[#This Row],[C/D (LC)]],IF(Table1[[#This Row],[Type]]="CN",Table1[[#This Row],[C/D (LC)]],"")),"")</f>
        <v>1737.1</v>
      </c>
      <c r="P582" t="str">
        <f>VLOOKUP(Table1[[#This Row],[Cust '#]],ClientInfo!$A:$B,2,0)</f>
        <v>Client_07</v>
      </c>
    </row>
    <row r="583" spans="1:16">
      <c r="A583" t="s">
        <v>113</v>
      </c>
      <c r="B583" t="s">
        <v>12</v>
      </c>
      <c r="C583">
        <v>140009210</v>
      </c>
      <c r="D583" s="1">
        <v>45456</v>
      </c>
      <c r="E583">
        <v>1600</v>
      </c>
      <c r="F583">
        <v>0</v>
      </c>
      <c r="G583">
        <v>700000913</v>
      </c>
      <c r="H583" s="1">
        <v>45460</v>
      </c>
      <c r="I583">
        <f>YEAR(Table1[[#This Row],[Posting Date]])</f>
        <v>2024</v>
      </c>
      <c r="J583">
        <f>MONTH(Table1[[#This Row],[Posting Date]])</f>
        <v>6</v>
      </c>
      <c r="K583" t="str">
        <f>IF(Table1[[#This Row],[Type]]="IN",VLOOKUP(Table1[[#This Row],[Cust '#]],ClientInfo!$A:$D,4,0),"")</f>
        <v>COD</v>
      </c>
      <c r="L583" s="1">
        <f>IF(K583="NET30",Table1[[#This Row],[Posting Date]]+30,IF(K583="NET15",Table1[[#This Row],[Posting Date]]+15,IF(K583="COD",Table1[[#This Row],[Posting Date]],"")))</f>
        <v>45456</v>
      </c>
      <c r="M583" s="4">
        <f>IFERROR(IF(Table1[[#This Row],[Type]]="IN",Table1[[#This Row],[RC Date]]-Table1[[#This Row],[Posting Date]],""),"")</f>
        <v>4</v>
      </c>
      <c r="N583">
        <f>IFERROR(IF(Table1[[#This Row],[Balance Due (LC)]]&lt;&gt;0,$S$1-L583,0),"")</f>
        <v>0</v>
      </c>
      <c r="O583">
        <f>IFERROR(IF(Table1[[#This Row],[Type]]="IN",Table1[[#This Row],[C/D (LC)]],IF(Table1[[#This Row],[Type]]="CN",Table1[[#This Row],[C/D (LC)]],"")),"")</f>
        <v>1600</v>
      </c>
      <c r="P583" t="str">
        <f>VLOOKUP(Table1[[#This Row],[Cust '#]],ClientInfo!$A:$B,2,0)</f>
        <v>Client_07</v>
      </c>
    </row>
    <row r="584" spans="1:16">
      <c r="A584" t="s">
        <v>113</v>
      </c>
      <c r="B584" t="s">
        <v>10</v>
      </c>
      <c r="C584">
        <v>700000912</v>
      </c>
      <c r="D584" s="1">
        <v>45460</v>
      </c>
      <c r="E584">
        <v>-5824.4</v>
      </c>
      <c r="F584">
        <v>0</v>
      </c>
      <c r="G584">
        <v>700000912</v>
      </c>
      <c r="H584" s="1">
        <v>45460</v>
      </c>
      <c r="I584">
        <f>YEAR(Table1[[#This Row],[Posting Date]])</f>
        <v>2024</v>
      </c>
      <c r="J584">
        <f>MONTH(Table1[[#This Row],[Posting Date]])</f>
        <v>6</v>
      </c>
      <c r="K584" t="str">
        <f>IF(Table1[[#This Row],[Type]]="IN",VLOOKUP(Table1[[#This Row],[Cust '#]],ClientInfo!$A:$D,4,0),"")</f>
        <v/>
      </c>
      <c r="L584" s="1" t="str">
        <f>IF(K584="NET30",Table1[[#This Row],[Posting Date]]+30,IF(K584="NET15",Table1[[#This Row],[Posting Date]]+15,IF(K584="COD",Table1[[#This Row],[Posting Date]],"")))</f>
        <v/>
      </c>
      <c r="M584" s="4" t="str">
        <f>IFERROR(IF(Table1[[#This Row],[Type]]="IN",Table1[[#This Row],[RC Date]]-Table1[[#This Row],[Posting Date]],""),"")</f>
        <v/>
      </c>
      <c r="N584">
        <f>IFERROR(IF(Table1[[#This Row],[Balance Due (LC)]]&lt;&gt;0,$S$1-L584,0),"")</f>
        <v>0</v>
      </c>
      <c r="O584" t="str">
        <f>IFERROR(IF(Table1[[#This Row],[Type]]="IN",Table1[[#This Row],[C/D (LC)]],IF(Table1[[#This Row],[Type]]="CN",Table1[[#This Row],[C/D (LC)]],"")),"")</f>
        <v/>
      </c>
      <c r="P584" t="str">
        <f>VLOOKUP(Table1[[#This Row],[Cust '#]],ClientInfo!$A:$B,2,0)</f>
        <v>Client_07</v>
      </c>
    </row>
    <row r="585" spans="1:16">
      <c r="A585" t="s">
        <v>113</v>
      </c>
      <c r="B585" t="s">
        <v>10</v>
      </c>
      <c r="C585">
        <v>700000912</v>
      </c>
      <c r="D585" s="1">
        <v>45460</v>
      </c>
      <c r="E585">
        <v>5824.4</v>
      </c>
      <c r="F585">
        <v>0</v>
      </c>
      <c r="G585">
        <v>700000912</v>
      </c>
      <c r="H585" s="1">
        <v>45460</v>
      </c>
      <c r="I585">
        <f>YEAR(Table1[[#This Row],[Posting Date]])</f>
        <v>2024</v>
      </c>
      <c r="J585">
        <f>MONTH(Table1[[#This Row],[Posting Date]])</f>
        <v>6</v>
      </c>
      <c r="K585" t="str">
        <f>IF(Table1[[#This Row],[Type]]="IN",VLOOKUP(Table1[[#This Row],[Cust '#]],ClientInfo!$A:$D,4,0),"")</f>
        <v/>
      </c>
      <c r="L585" s="1" t="str">
        <f>IF(K585="NET30",Table1[[#This Row],[Posting Date]]+30,IF(K585="NET15",Table1[[#This Row],[Posting Date]]+15,IF(K585="COD",Table1[[#This Row],[Posting Date]],"")))</f>
        <v/>
      </c>
      <c r="M585" s="4" t="str">
        <f>IFERROR(IF(Table1[[#This Row],[Type]]="IN",Table1[[#This Row],[RC Date]]-Table1[[#This Row],[Posting Date]],""),"")</f>
        <v/>
      </c>
      <c r="N585">
        <f>IFERROR(IF(Table1[[#This Row],[Balance Due (LC)]]&lt;&gt;0,$S$1-L585,0),"")</f>
        <v>0</v>
      </c>
      <c r="O585" t="str">
        <f>IFERROR(IF(Table1[[#This Row],[Type]]="IN",Table1[[#This Row],[C/D (LC)]],IF(Table1[[#This Row],[Type]]="CN",Table1[[#This Row],[C/D (LC)]],"")),"")</f>
        <v/>
      </c>
      <c r="P585" t="str">
        <f>VLOOKUP(Table1[[#This Row],[Cust '#]],ClientInfo!$A:$B,2,0)</f>
        <v>Client_07</v>
      </c>
    </row>
    <row r="586" spans="1:16">
      <c r="A586" t="s">
        <v>113</v>
      </c>
      <c r="B586" t="s">
        <v>10</v>
      </c>
      <c r="C586">
        <v>700000913</v>
      </c>
      <c r="D586" s="1">
        <v>45460</v>
      </c>
      <c r="E586">
        <v>-5824.4</v>
      </c>
      <c r="F586">
        <v>0</v>
      </c>
      <c r="G586">
        <v>700000913</v>
      </c>
      <c r="H586" s="1">
        <v>45460</v>
      </c>
      <c r="I586">
        <f>YEAR(Table1[[#This Row],[Posting Date]])</f>
        <v>2024</v>
      </c>
      <c r="J586">
        <f>MONTH(Table1[[#This Row],[Posting Date]])</f>
        <v>6</v>
      </c>
      <c r="K586" t="str">
        <f>IF(Table1[[#This Row],[Type]]="IN",VLOOKUP(Table1[[#This Row],[Cust '#]],ClientInfo!$A:$D,4,0),"")</f>
        <v/>
      </c>
      <c r="L586" s="1" t="str">
        <f>IF(K586="NET30",Table1[[#This Row],[Posting Date]]+30,IF(K586="NET15",Table1[[#This Row],[Posting Date]]+15,IF(K586="COD",Table1[[#This Row],[Posting Date]],"")))</f>
        <v/>
      </c>
      <c r="M586" s="4" t="str">
        <f>IFERROR(IF(Table1[[#This Row],[Type]]="IN",Table1[[#This Row],[RC Date]]-Table1[[#This Row],[Posting Date]],""),"")</f>
        <v/>
      </c>
      <c r="N586">
        <f>IFERROR(IF(Table1[[#This Row],[Balance Due (LC)]]&lt;&gt;0,$S$1-L586,0),"")</f>
        <v>0</v>
      </c>
      <c r="O586" t="str">
        <f>IFERROR(IF(Table1[[#This Row],[Type]]="IN",Table1[[#This Row],[C/D (LC)]],IF(Table1[[#This Row],[Type]]="CN",Table1[[#This Row],[C/D (LC)]],"")),"")</f>
        <v/>
      </c>
      <c r="P586" t="str">
        <f>VLOOKUP(Table1[[#This Row],[Cust '#]],ClientInfo!$A:$B,2,0)</f>
        <v>Client_07</v>
      </c>
    </row>
    <row r="587" spans="1:16">
      <c r="A587" t="s">
        <v>113</v>
      </c>
      <c r="B587" t="s">
        <v>12</v>
      </c>
      <c r="C587">
        <v>140009481</v>
      </c>
      <c r="D587" s="1">
        <v>45463</v>
      </c>
      <c r="E587">
        <v>3365.5</v>
      </c>
      <c r="F587">
        <v>0</v>
      </c>
      <c r="G587">
        <v>700001133</v>
      </c>
      <c r="H587" s="1">
        <v>45490</v>
      </c>
      <c r="I587">
        <f>YEAR(Table1[[#This Row],[Posting Date]])</f>
        <v>2024</v>
      </c>
      <c r="J587">
        <f>MONTH(Table1[[#This Row],[Posting Date]])</f>
        <v>6</v>
      </c>
      <c r="K587" t="str">
        <f>IF(Table1[[#This Row],[Type]]="IN",VLOOKUP(Table1[[#This Row],[Cust '#]],ClientInfo!$A:$D,4,0),"")</f>
        <v>COD</v>
      </c>
      <c r="L587" s="1">
        <f>IF(K587="NET30",Table1[[#This Row],[Posting Date]]+30,IF(K587="NET15",Table1[[#This Row],[Posting Date]]+15,IF(K587="COD",Table1[[#This Row],[Posting Date]],"")))</f>
        <v>45463</v>
      </c>
      <c r="M587" s="4">
        <f>IFERROR(IF(Table1[[#This Row],[Type]]="IN",Table1[[#This Row],[RC Date]]-Table1[[#This Row],[Posting Date]],""),"")</f>
        <v>27</v>
      </c>
      <c r="N587">
        <f>IFERROR(IF(Table1[[#This Row],[Balance Due (LC)]]&lt;&gt;0,$S$1-L587,0),"")</f>
        <v>0</v>
      </c>
      <c r="O587">
        <f>IFERROR(IF(Table1[[#This Row],[Type]]="IN",Table1[[#This Row],[C/D (LC)]],IF(Table1[[#This Row],[Type]]="CN",Table1[[#This Row],[C/D (LC)]],"")),"")</f>
        <v>3365.5</v>
      </c>
      <c r="P587" t="str">
        <f>VLOOKUP(Table1[[#This Row],[Cust '#]],ClientInfo!$A:$B,2,0)</f>
        <v>Client_07</v>
      </c>
    </row>
    <row r="588" spans="1:16">
      <c r="A588" t="s">
        <v>113</v>
      </c>
      <c r="B588" t="s">
        <v>12</v>
      </c>
      <c r="C588">
        <v>140010161</v>
      </c>
      <c r="D588" s="1">
        <v>45477</v>
      </c>
      <c r="E588">
        <v>1923.9</v>
      </c>
      <c r="F588">
        <v>0</v>
      </c>
      <c r="G588">
        <v>700001133</v>
      </c>
      <c r="H588" s="1">
        <v>45490</v>
      </c>
      <c r="I588">
        <f>YEAR(Table1[[#This Row],[Posting Date]])</f>
        <v>2024</v>
      </c>
      <c r="J588">
        <f>MONTH(Table1[[#This Row],[Posting Date]])</f>
        <v>7</v>
      </c>
      <c r="K588" t="str">
        <f>IF(Table1[[#This Row],[Type]]="IN",VLOOKUP(Table1[[#This Row],[Cust '#]],ClientInfo!$A:$D,4,0),"")</f>
        <v>COD</v>
      </c>
      <c r="L588" s="1">
        <f>IF(K588="NET30",Table1[[#This Row],[Posting Date]]+30,IF(K588="NET15",Table1[[#This Row],[Posting Date]]+15,IF(K588="COD",Table1[[#This Row],[Posting Date]],"")))</f>
        <v>45477</v>
      </c>
      <c r="M588" s="4">
        <f>IFERROR(IF(Table1[[#This Row],[Type]]="IN",Table1[[#This Row],[RC Date]]-Table1[[#This Row],[Posting Date]],""),"")</f>
        <v>13</v>
      </c>
      <c r="N588">
        <f>IFERROR(IF(Table1[[#This Row],[Balance Due (LC)]]&lt;&gt;0,$S$1-L588,0),"")</f>
        <v>0</v>
      </c>
      <c r="O588">
        <f>IFERROR(IF(Table1[[#This Row],[Type]]="IN",Table1[[#This Row],[C/D (LC)]],IF(Table1[[#This Row],[Type]]="CN",Table1[[#This Row],[C/D (LC)]],"")),"")</f>
        <v>1923.9</v>
      </c>
      <c r="P588" t="str">
        <f>VLOOKUP(Table1[[#This Row],[Cust '#]],ClientInfo!$A:$B,2,0)</f>
        <v>Client_07</v>
      </c>
    </row>
    <row r="589" spans="1:16">
      <c r="A589" t="s">
        <v>113</v>
      </c>
      <c r="B589" t="s">
        <v>12</v>
      </c>
      <c r="C589">
        <v>140010447</v>
      </c>
      <c r="D589" s="1">
        <v>45484</v>
      </c>
      <c r="E589">
        <v>1291.6500000000001</v>
      </c>
      <c r="F589">
        <v>0</v>
      </c>
      <c r="G589">
        <v>700001133</v>
      </c>
      <c r="H589" s="1">
        <v>45490</v>
      </c>
      <c r="I589">
        <f>YEAR(Table1[[#This Row],[Posting Date]])</f>
        <v>2024</v>
      </c>
      <c r="J589">
        <f>MONTH(Table1[[#This Row],[Posting Date]])</f>
        <v>7</v>
      </c>
      <c r="K589" t="str">
        <f>IF(Table1[[#This Row],[Type]]="IN",VLOOKUP(Table1[[#This Row],[Cust '#]],ClientInfo!$A:$D,4,0),"")</f>
        <v>COD</v>
      </c>
      <c r="L589" s="1">
        <f>IF(K589="NET30",Table1[[#This Row],[Posting Date]]+30,IF(K589="NET15",Table1[[#This Row],[Posting Date]]+15,IF(K589="COD",Table1[[#This Row],[Posting Date]],"")))</f>
        <v>45484</v>
      </c>
      <c r="M589" s="4">
        <f>IFERROR(IF(Table1[[#This Row],[Type]]="IN",Table1[[#This Row],[RC Date]]-Table1[[#This Row],[Posting Date]],""),"")</f>
        <v>6</v>
      </c>
      <c r="N589">
        <f>IFERROR(IF(Table1[[#This Row],[Balance Due (LC)]]&lt;&gt;0,$S$1-L589,0),"")</f>
        <v>0</v>
      </c>
      <c r="O589">
        <f>IFERROR(IF(Table1[[#This Row],[Type]]="IN",Table1[[#This Row],[C/D (LC)]],IF(Table1[[#This Row],[Type]]="CN",Table1[[#This Row],[C/D (LC)]],"")),"")</f>
        <v>1291.6500000000001</v>
      </c>
      <c r="P589" t="str">
        <f>VLOOKUP(Table1[[#This Row],[Cust '#]],ClientInfo!$A:$B,2,0)</f>
        <v>Client_07</v>
      </c>
    </row>
    <row r="590" spans="1:16">
      <c r="A590" t="s">
        <v>113</v>
      </c>
      <c r="B590" t="s">
        <v>10</v>
      </c>
      <c r="C590">
        <v>700001133</v>
      </c>
      <c r="D590" s="1">
        <v>45490</v>
      </c>
      <c r="E590">
        <v>-6581.05</v>
      </c>
      <c r="F590">
        <v>0</v>
      </c>
      <c r="G590">
        <v>700001133</v>
      </c>
      <c r="H590" s="1">
        <v>45490</v>
      </c>
      <c r="I590">
        <f>YEAR(Table1[[#This Row],[Posting Date]])</f>
        <v>2024</v>
      </c>
      <c r="J590">
        <f>MONTH(Table1[[#This Row],[Posting Date]])</f>
        <v>7</v>
      </c>
      <c r="K590" t="str">
        <f>IF(Table1[[#This Row],[Type]]="IN",VLOOKUP(Table1[[#This Row],[Cust '#]],ClientInfo!$A:$D,4,0),"")</f>
        <v/>
      </c>
      <c r="L590" s="1" t="str">
        <f>IF(K590="NET30",Table1[[#This Row],[Posting Date]]+30,IF(K590="NET15",Table1[[#This Row],[Posting Date]]+15,IF(K590="COD",Table1[[#This Row],[Posting Date]],"")))</f>
        <v/>
      </c>
      <c r="M590" s="4" t="str">
        <f>IFERROR(IF(Table1[[#This Row],[Type]]="IN",Table1[[#This Row],[RC Date]]-Table1[[#This Row],[Posting Date]],""),"")</f>
        <v/>
      </c>
      <c r="N590">
        <f>IFERROR(IF(Table1[[#This Row],[Balance Due (LC)]]&lt;&gt;0,$S$1-L590,0),"")</f>
        <v>0</v>
      </c>
      <c r="O590" t="str">
        <f>IFERROR(IF(Table1[[#This Row],[Type]]="IN",Table1[[#This Row],[C/D (LC)]],IF(Table1[[#This Row],[Type]]="CN",Table1[[#This Row],[C/D (LC)]],"")),"")</f>
        <v/>
      </c>
      <c r="P590" t="str">
        <f>VLOOKUP(Table1[[#This Row],[Cust '#]],ClientInfo!$A:$B,2,0)</f>
        <v>Client_07</v>
      </c>
    </row>
    <row r="591" spans="1:16">
      <c r="A591" t="s">
        <v>113</v>
      </c>
      <c r="B591" t="s">
        <v>12</v>
      </c>
      <c r="C591">
        <v>140010778</v>
      </c>
      <c r="D591" s="1">
        <v>45491</v>
      </c>
      <c r="E591">
        <v>4320.5</v>
      </c>
      <c r="F591">
        <v>0</v>
      </c>
      <c r="G591">
        <v>700001264</v>
      </c>
      <c r="H591" s="1">
        <v>45510</v>
      </c>
      <c r="I591">
        <f>YEAR(Table1[[#This Row],[Posting Date]])</f>
        <v>2024</v>
      </c>
      <c r="J591">
        <f>MONTH(Table1[[#This Row],[Posting Date]])</f>
        <v>7</v>
      </c>
      <c r="K591" t="str">
        <f>IF(Table1[[#This Row],[Type]]="IN",VLOOKUP(Table1[[#This Row],[Cust '#]],ClientInfo!$A:$D,4,0),"")</f>
        <v>COD</v>
      </c>
      <c r="L591" s="1">
        <f>IF(K591="NET30",Table1[[#This Row],[Posting Date]]+30,IF(K591="NET15",Table1[[#This Row],[Posting Date]]+15,IF(K591="COD",Table1[[#This Row],[Posting Date]],"")))</f>
        <v>45491</v>
      </c>
      <c r="M591" s="4">
        <f>IFERROR(IF(Table1[[#This Row],[Type]]="IN",Table1[[#This Row],[RC Date]]-Table1[[#This Row],[Posting Date]],""),"")</f>
        <v>19</v>
      </c>
      <c r="N591">
        <f>IFERROR(IF(Table1[[#This Row],[Balance Due (LC)]]&lt;&gt;0,$S$1-L591,0),"")</f>
        <v>0</v>
      </c>
      <c r="O591">
        <f>IFERROR(IF(Table1[[#This Row],[Type]]="IN",Table1[[#This Row],[C/D (LC)]],IF(Table1[[#This Row],[Type]]="CN",Table1[[#This Row],[C/D (LC)]],"")),"")</f>
        <v>4320.5</v>
      </c>
      <c r="P591" t="str">
        <f>VLOOKUP(Table1[[#This Row],[Cust '#]],ClientInfo!$A:$B,2,0)</f>
        <v>Client_07</v>
      </c>
    </row>
    <row r="592" spans="1:16">
      <c r="A592" t="s">
        <v>113</v>
      </c>
      <c r="B592" t="s">
        <v>12</v>
      </c>
      <c r="C592">
        <v>140011419</v>
      </c>
      <c r="D592" s="1">
        <v>45505</v>
      </c>
      <c r="E592">
        <v>2339.3000000000002</v>
      </c>
      <c r="F592">
        <v>0</v>
      </c>
      <c r="G592">
        <v>700001264</v>
      </c>
      <c r="H592" s="1">
        <v>45510</v>
      </c>
      <c r="I592">
        <f>YEAR(Table1[[#This Row],[Posting Date]])</f>
        <v>2024</v>
      </c>
      <c r="J592">
        <f>MONTH(Table1[[#This Row],[Posting Date]])</f>
        <v>8</v>
      </c>
      <c r="K592" t="str">
        <f>IF(Table1[[#This Row],[Type]]="IN",VLOOKUP(Table1[[#This Row],[Cust '#]],ClientInfo!$A:$D,4,0),"")</f>
        <v>COD</v>
      </c>
      <c r="L592" s="1">
        <f>IF(K592="NET30",Table1[[#This Row],[Posting Date]]+30,IF(K592="NET15",Table1[[#This Row],[Posting Date]]+15,IF(K592="COD",Table1[[#This Row],[Posting Date]],"")))</f>
        <v>45505</v>
      </c>
      <c r="M592" s="4">
        <f>IFERROR(IF(Table1[[#This Row],[Type]]="IN",Table1[[#This Row],[RC Date]]-Table1[[#This Row],[Posting Date]],""),"")</f>
        <v>5</v>
      </c>
      <c r="N592">
        <f>IFERROR(IF(Table1[[#This Row],[Balance Due (LC)]]&lt;&gt;0,$S$1-L592,0),"")</f>
        <v>0</v>
      </c>
      <c r="O592">
        <f>IFERROR(IF(Table1[[#This Row],[Type]]="IN",Table1[[#This Row],[C/D (LC)]],IF(Table1[[#This Row],[Type]]="CN",Table1[[#This Row],[C/D (LC)]],"")),"")</f>
        <v>2339.3000000000002</v>
      </c>
      <c r="P592" t="str">
        <f>VLOOKUP(Table1[[#This Row],[Cust '#]],ClientInfo!$A:$B,2,0)</f>
        <v>Client_07</v>
      </c>
    </row>
    <row r="593" spans="1:16">
      <c r="A593" t="s">
        <v>113</v>
      </c>
      <c r="B593" t="s">
        <v>10</v>
      </c>
      <c r="C593">
        <v>700001264</v>
      </c>
      <c r="D593" s="1">
        <v>45510</v>
      </c>
      <c r="E593">
        <v>-6659.8</v>
      </c>
      <c r="F593">
        <v>0</v>
      </c>
      <c r="G593">
        <v>700001264</v>
      </c>
      <c r="H593" s="1">
        <v>45510</v>
      </c>
      <c r="I593">
        <f>YEAR(Table1[[#This Row],[Posting Date]])</f>
        <v>2024</v>
      </c>
      <c r="J593">
        <f>MONTH(Table1[[#This Row],[Posting Date]])</f>
        <v>8</v>
      </c>
      <c r="K593" t="str">
        <f>IF(Table1[[#This Row],[Type]]="IN",VLOOKUP(Table1[[#This Row],[Cust '#]],ClientInfo!$A:$D,4,0),"")</f>
        <v/>
      </c>
      <c r="L593" s="1" t="str">
        <f>IF(K593="NET30",Table1[[#This Row],[Posting Date]]+30,IF(K593="NET15",Table1[[#This Row],[Posting Date]]+15,IF(K593="COD",Table1[[#This Row],[Posting Date]],"")))</f>
        <v/>
      </c>
      <c r="M593" s="4" t="str">
        <f>IFERROR(IF(Table1[[#This Row],[Type]]="IN",Table1[[#This Row],[RC Date]]-Table1[[#This Row],[Posting Date]],""),"")</f>
        <v/>
      </c>
      <c r="N593">
        <f>IFERROR(IF(Table1[[#This Row],[Balance Due (LC)]]&lt;&gt;0,$S$1-L593,0),"")</f>
        <v>0</v>
      </c>
      <c r="O593" t="str">
        <f>IFERROR(IF(Table1[[#This Row],[Type]]="IN",Table1[[#This Row],[C/D (LC)]],IF(Table1[[#This Row],[Type]]="CN",Table1[[#This Row],[C/D (LC)]],"")),"")</f>
        <v/>
      </c>
      <c r="P593" t="str">
        <f>VLOOKUP(Table1[[#This Row],[Cust '#]],ClientInfo!$A:$B,2,0)</f>
        <v>Client_07</v>
      </c>
    </row>
    <row r="594" spans="1:16">
      <c r="A594" t="s">
        <v>113</v>
      </c>
      <c r="B594" t="s">
        <v>12</v>
      </c>
      <c r="C594">
        <v>140011743</v>
      </c>
      <c r="D594" s="1">
        <v>45512</v>
      </c>
      <c r="E594">
        <v>4033.9</v>
      </c>
      <c r="F594">
        <v>0</v>
      </c>
      <c r="G594">
        <v>700001453</v>
      </c>
      <c r="H594" s="1">
        <v>45532</v>
      </c>
      <c r="I594">
        <f>YEAR(Table1[[#This Row],[Posting Date]])</f>
        <v>2024</v>
      </c>
      <c r="J594">
        <f>MONTH(Table1[[#This Row],[Posting Date]])</f>
        <v>8</v>
      </c>
      <c r="K594" t="str">
        <f>IF(Table1[[#This Row],[Type]]="IN",VLOOKUP(Table1[[#This Row],[Cust '#]],ClientInfo!$A:$D,4,0),"")</f>
        <v>COD</v>
      </c>
      <c r="L594" s="1">
        <f>IF(K594="NET30",Table1[[#This Row],[Posting Date]]+30,IF(K594="NET15",Table1[[#This Row],[Posting Date]]+15,IF(K594="COD",Table1[[#This Row],[Posting Date]],"")))</f>
        <v>45512</v>
      </c>
      <c r="M594" s="4">
        <f>IFERROR(IF(Table1[[#This Row],[Type]]="IN",Table1[[#This Row],[RC Date]]-Table1[[#This Row],[Posting Date]],""),"")</f>
        <v>20</v>
      </c>
      <c r="N594">
        <f>IFERROR(IF(Table1[[#This Row],[Balance Due (LC)]]&lt;&gt;0,$S$1-L594,0),"")</f>
        <v>0</v>
      </c>
      <c r="O594">
        <f>IFERROR(IF(Table1[[#This Row],[Type]]="IN",Table1[[#This Row],[C/D (LC)]],IF(Table1[[#This Row],[Type]]="CN",Table1[[#This Row],[C/D (LC)]],"")),"")</f>
        <v>4033.9</v>
      </c>
      <c r="P594" t="str">
        <f>VLOOKUP(Table1[[#This Row],[Cust '#]],ClientInfo!$A:$B,2,0)</f>
        <v>Client_07</v>
      </c>
    </row>
    <row r="595" spans="1:16">
      <c r="A595" t="s">
        <v>113</v>
      </c>
      <c r="B595" t="s">
        <v>12</v>
      </c>
      <c r="C595">
        <v>140012048</v>
      </c>
      <c r="D595" s="1">
        <v>45519</v>
      </c>
      <c r="E595">
        <v>930.9</v>
      </c>
      <c r="F595">
        <v>0</v>
      </c>
      <c r="G595">
        <v>700001453</v>
      </c>
      <c r="H595" s="1">
        <v>45532</v>
      </c>
      <c r="I595">
        <f>YEAR(Table1[[#This Row],[Posting Date]])</f>
        <v>2024</v>
      </c>
      <c r="J595">
        <f>MONTH(Table1[[#This Row],[Posting Date]])</f>
        <v>8</v>
      </c>
      <c r="K595" t="str">
        <f>IF(Table1[[#This Row],[Type]]="IN",VLOOKUP(Table1[[#This Row],[Cust '#]],ClientInfo!$A:$D,4,0),"")</f>
        <v>COD</v>
      </c>
      <c r="L595" s="1">
        <f>IF(K595="NET30",Table1[[#This Row],[Posting Date]]+30,IF(K595="NET15",Table1[[#This Row],[Posting Date]]+15,IF(K595="COD",Table1[[#This Row],[Posting Date]],"")))</f>
        <v>45519</v>
      </c>
      <c r="M595" s="4">
        <f>IFERROR(IF(Table1[[#This Row],[Type]]="IN",Table1[[#This Row],[RC Date]]-Table1[[#This Row],[Posting Date]],""),"")</f>
        <v>13</v>
      </c>
      <c r="N595">
        <f>IFERROR(IF(Table1[[#This Row],[Balance Due (LC)]]&lt;&gt;0,$S$1-L595,0),"")</f>
        <v>0</v>
      </c>
      <c r="O595">
        <f>IFERROR(IF(Table1[[#This Row],[Type]]="IN",Table1[[#This Row],[C/D (LC)]],IF(Table1[[#This Row],[Type]]="CN",Table1[[#This Row],[C/D (LC)]],"")),"")</f>
        <v>930.9</v>
      </c>
      <c r="P595" t="str">
        <f>VLOOKUP(Table1[[#This Row],[Cust '#]],ClientInfo!$A:$B,2,0)</f>
        <v>Client_07</v>
      </c>
    </row>
    <row r="596" spans="1:16">
      <c r="A596" t="s">
        <v>113</v>
      </c>
      <c r="B596" t="s">
        <v>12</v>
      </c>
      <c r="C596">
        <v>140012360</v>
      </c>
      <c r="D596" s="1">
        <v>45526</v>
      </c>
      <c r="E596">
        <v>3026.9</v>
      </c>
      <c r="F596">
        <v>0</v>
      </c>
      <c r="G596">
        <v>700001453</v>
      </c>
      <c r="H596" s="1">
        <v>45532</v>
      </c>
      <c r="I596">
        <f>YEAR(Table1[[#This Row],[Posting Date]])</f>
        <v>2024</v>
      </c>
      <c r="J596">
        <f>MONTH(Table1[[#This Row],[Posting Date]])</f>
        <v>8</v>
      </c>
      <c r="K596" t="str">
        <f>IF(Table1[[#This Row],[Type]]="IN",VLOOKUP(Table1[[#This Row],[Cust '#]],ClientInfo!$A:$D,4,0),"")</f>
        <v>COD</v>
      </c>
      <c r="L596" s="1">
        <f>IF(K596="NET30",Table1[[#This Row],[Posting Date]]+30,IF(K596="NET15",Table1[[#This Row],[Posting Date]]+15,IF(K596="COD",Table1[[#This Row],[Posting Date]],"")))</f>
        <v>45526</v>
      </c>
      <c r="M596" s="4">
        <f>IFERROR(IF(Table1[[#This Row],[Type]]="IN",Table1[[#This Row],[RC Date]]-Table1[[#This Row],[Posting Date]],""),"")</f>
        <v>6</v>
      </c>
      <c r="N596">
        <f>IFERROR(IF(Table1[[#This Row],[Balance Due (LC)]]&lt;&gt;0,$S$1-L596,0),"")</f>
        <v>0</v>
      </c>
      <c r="O596">
        <f>IFERROR(IF(Table1[[#This Row],[Type]]="IN",Table1[[#This Row],[C/D (LC)]],IF(Table1[[#This Row],[Type]]="CN",Table1[[#This Row],[C/D (LC)]],"")),"")</f>
        <v>3026.9</v>
      </c>
      <c r="P596" t="str">
        <f>VLOOKUP(Table1[[#This Row],[Cust '#]],ClientInfo!$A:$B,2,0)</f>
        <v>Client_07</v>
      </c>
    </row>
    <row r="597" spans="1:16">
      <c r="A597" t="s">
        <v>113</v>
      </c>
      <c r="B597" t="s">
        <v>10</v>
      </c>
      <c r="C597">
        <v>700001453</v>
      </c>
      <c r="D597" s="1">
        <v>45532</v>
      </c>
      <c r="E597">
        <v>-7991.7</v>
      </c>
      <c r="F597">
        <v>0</v>
      </c>
      <c r="G597">
        <v>700001453</v>
      </c>
      <c r="H597" s="1">
        <v>45532</v>
      </c>
      <c r="I597">
        <f>YEAR(Table1[[#This Row],[Posting Date]])</f>
        <v>2024</v>
      </c>
      <c r="J597">
        <f>MONTH(Table1[[#This Row],[Posting Date]])</f>
        <v>8</v>
      </c>
      <c r="K597" t="str">
        <f>IF(Table1[[#This Row],[Type]]="IN",VLOOKUP(Table1[[#This Row],[Cust '#]],ClientInfo!$A:$D,4,0),"")</f>
        <v/>
      </c>
      <c r="L597" s="1" t="str">
        <f>IF(K597="NET30",Table1[[#This Row],[Posting Date]]+30,IF(K597="NET15",Table1[[#This Row],[Posting Date]]+15,IF(K597="COD",Table1[[#This Row],[Posting Date]],"")))</f>
        <v/>
      </c>
      <c r="M597" s="4" t="str">
        <f>IFERROR(IF(Table1[[#This Row],[Type]]="IN",Table1[[#This Row],[RC Date]]-Table1[[#This Row],[Posting Date]],""),"")</f>
        <v/>
      </c>
      <c r="N597">
        <f>IFERROR(IF(Table1[[#This Row],[Balance Due (LC)]]&lt;&gt;0,$S$1-L597,0),"")</f>
        <v>0</v>
      </c>
      <c r="O597" t="str">
        <f>IFERROR(IF(Table1[[#This Row],[Type]]="IN",Table1[[#This Row],[C/D (LC)]],IF(Table1[[#This Row],[Type]]="CN",Table1[[#This Row],[C/D (LC)]],"")),"")</f>
        <v/>
      </c>
      <c r="P597" t="str">
        <f>VLOOKUP(Table1[[#This Row],[Cust '#]],ClientInfo!$A:$B,2,0)</f>
        <v>Client_07</v>
      </c>
    </row>
    <row r="598" spans="1:16">
      <c r="A598" t="s">
        <v>113</v>
      </c>
      <c r="B598" t="s">
        <v>12</v>
      </c>
      <c r="C598">
        <v>140012646</v>
      </c>
      <c r="D598" s="1">
        <v>45533</v>
      </c>
      <c r="E598">
        <v>3141.8</v>
      </c>
      <c r="F598">
        <v>0</v>
      </c>
      <c r="G598">
        <v>700001548</v>
      </c>
      <c r="H598" s="1">
        <v>45545</v>
      </c>
      <c r="I598">
        <f>YEAR(Table1[[#This Row],[Posting Date]])</f>
        <v>2024</v>
      </c>
      <c r="J598">
        <f>MONTH(Table1[[#This Row],[Posting Date]])</f>
        <v>8</v>
      </c>
      <c r="K598" t="str">
        <f>IF(Table1[[#This Row],[Type]]="IN",VLOOKUP(Table1[[#This Row],[Cust '#]],ClientInfo!$A:$D,4,0),"")</f>
        <v>COD</v>
      </c>
      <c r="L598" s="1">
        <f>IF(K598="NET30",Table1[[#This Row],[Posting Date]]+30,IF(K598="NET15",Table1[[#This Row],[Posting Date]]+15,IF(K598="COD",Table1[[#This Row],[Posting Date]],"")))</f>
        <v>45533</v>
      </c>
      <c r="M598" s="4">
        <f>IFERROR(IF(Table1[[#This Row],[Type]]="IN",Table1[[#This Row],[RC Date]]-Table1[[#This Row],[Posting Date]],""),"")</f>
        <v>12</v>
      </c>
      <c r="N598">
        <f>IFERROR(IF(Table1[[#This Row],[Balance Due (LC)]]&lt;&gt;0,$S$1-L598,0),"")</f>
        <v>0</v>
      </c>
      <c r="O598">
        <f>IFERROR(IF(Table1[[#This Row],[Type]]="IN",Table1[[#This Row],[C/D (LC)]],IF(Table1[[#This Row],[Type]]="CN",Table1[[#This Row],[C/D (LC)]],"")),"")</f>
        <v>3141.8</v>
      </c>
      <c r="P598" t="str">
        <f>VLOOKUP(Table1[[#This Row],[Cust '#]],ClientInfo!$A:$B,2,0)</f>
        <v>Client_07</v>
      </c>
    </row>
    <row r="599" spans="1:16">
      <c r="A599" t="s">
        <v>113</v>
      </c>
      <c r="B599" t="s">
        <v>12</v>
      </c>
      <c r="C599">
        <v>140013008</v>
      </c>
      <c r="D599" s="1">
        <v>45540</v>
      </c>
      <c r="E599">
        <v>3242.5</v>
      </c>
      <c r="F599">
        <v>0</v>
      </c>
      <c r="G599">
        <v>700001548</v>
      </c>
      <c r="H599" s="1">
        <v>45545</v>
      </c>
      <c r="I599">
        <f>YEAR(Table1[[#This Row],[Posting Date]])</f>
        <v>2024</v>
      </c>
      <c r="J599">
        <f>MONTH(Table1[[#This Row],[Posting Date]])</f>
        <v>9</v>
      </c>
      <c r="K599" t="str">
        <f>IF(Table1[[#This Row],[Type]]="IN",VLOOKUP(Table1[[#This Row],[Cust '#]],ClientInfo!$A:$D,4,0),"")</f>
        <v>COD</v>
      </c>
      <c r="L599" s="1">
        <f>IF(K599="NET30",Table1[[#This Row],[Posting Date]]+30,IF(K599="NET15",Table1[[#This Row],[Posting Date]]+15,IF(K599="COD",Table1[[#This Row],[Posting Date]],"")))</f>
        <v>45540</v>
      </c>
      <c r="M599" s="4">
        <f>IFERROR(IF(Table1[[#This Row],[Type]]="IN",Table1[[#This Row],[RC Date]]-Table1[[#This Row],[Posting Date]],""),"")</f>
        <v>5</v>
      </c>
      <c r="N599">
        <f>IFERROR(IF(Table1[[#This Row],[Balance Due (LC)]]&lt;&gt;0,$S$1-L599,0),"")</f>
        <v>0</v>
      </c>
      <c r="O599">
        <f>IFERROR(IF(Table1[[#This Row],[Type]]="IN",Table1[[#This Row],[C/D (LC)]],IF(Table1[[#This Row],[Type]]="CN",Table1[[#This Row],[C/D (LC)]],"")),"")</f>
        <v>3242.5</v>
      </c>
      <c r="P599" t="str">
        <f>VLOOKUP(Table1[[#This Row],[Cust '#]],ClientInfo!$A:$B,2,0)</f>
        <v>Client_07</v>
      </c>
    </row>
    <row r="600" spans="1:16">
      <c r="A600" t="s">
        <v>113</v>
      </c>
      <c r="B600" t="s">
        <v>12</v>
      </c>
      <c r="C600">
        <v>140013009</v>
      </c>
      <c r="D600" s="1">
        <v>45540</v>
      </c>
      <c r="E600">
        <v>518.20000000000005</v>
      </c>
      <c r="F600">
        <v>0</v>
      </c>
      <c r="G600">
        <v>700001548</v>
      </c>
      <c r="H600" s="1">
        <v>45545</v>
      </c>
      <c r="I600">
        <f>YEAR(Table1[[#This Row],[Posting Date]])</f>
        <v>2024</v>
      </c>
      <c r="J600">
        <f>MONTH(Table1[[#This Row],[Posting Date]])</f>
        <v>9</v>
      </c>
      <c r="K600" t="str">
        <f>IF(Table1[[#This Row],[Type]]="IN",VLOOKUP(Table1[[#This Row],[Cust '#]],ClientInfo!$A:$D,4,0),"")</f>
        <v>COD</v>
      </c>
      <c r="L600" s="1">
        <f>IF(K600="NET30",Table1[[#This Row],[Posting Date]]+30,IF(K600="NET15",Table1[[#This Row],[Posting Date]]+15,IF(K600="COD",Table1[[#This Row],[Posting Date]],"")))</f>
        <v>45540</v>
      </c>
      <c r="M600" s="4">
        <f>IFERROR(IF(Table1[[#This Row],[Type]]="IN",Table1[[#This Row],[RC Date]]-Table1[[#This Row],[Posting Date]],""),"")</f>
        <v>5</v>
      </c>
      <c r="N600">
        <f>IFERROR(IF(Table1[[#This Row],[Balance Due (LC)]]&lt;&gt;0,$S$1-L600,0),"")</f>
        <v>0</v>
      </c>
      <c r="O600">
        <f>IFERROR(IF(Table1[[#This Row],[Type]]="IN",Table1[[#This Row],[C/D (LC)]],IF(Table1[[#This Row],[Type]]="CN",Table1[[#This Row],[C/D (LC)]],"")),"")</f>
        <v>518.20000000000005</v>
      </c>
      <c r="P600" t="str">
        <f>VLOOKUP(Table1[[#This Row],[Cust '#]],ClientInfo!$A:$B,2,0)</f>
        <v>Client_07</v>
      </c>
    </row>
    <row r="601" spans="1:16">
      <c r="A601" t="s">
        <v>113</v>
      </c>
      <c r="B601" t="s">
        <v>10</v>
      </c>
      <c r="C601">
        <v>700001548</v>
      </c>
      <c r="D601" s="1">
        <v>45545</v>
      </c>
      <c r="E601">
        <v>-6902.5</v>
      </c>
      <c r="F601">
        <v>0</v>
      </c>
      <c r="G601">
        <v>700001548</v>
      </c>
      <c r="H601" s="1">
        <v>45545</v>
      </c>
      <c r="I601">
        <f>YEAR(Table1[[#This Row],[Posting Date]])</f>
        <v>2024</v>
      </c>
      <c r="J601">
        <f>MONTH(Table1[[#This Row],[Posting Date]])</f>
        <v>9</v>
      </c>
      <c r="K601" t="str">
        <f>IF(Table1[[#This Row],[Type]]="IN",VLOOKUP(Table1[[#This Row],[Cust '#]],ClientInfo!$A:$D,4,0),"")</f>
        <v/>
      </c>
      <c r="L601" s="1" t="str">
        <f>IF(K601="NET30",Table1[[#This Row],[Posting Date]]+30,IF(K601="NET15",Table1[[#This Row],[Posting Date]]+15,IF(K601="COD",Table1[[#This Row],[Posting Date]],"")))</f>
        <v/>
      </c>
      <c r="M601" s="4" t="str">
        <f>IFERROR(IF(Table1[[#This Row],[Type]]="IN",Table1[[#This Row],[RC Date]]-Table1[[#This Row],[Posting Date]],""),"")</f>
        <v/>
      </c>
      <c r="N601">
        <f>IFERROR(IF(Table1[[#This Row],[Balance Due (LC)]]&lt;&gt;0,$S$1-L601,0),"")</f>
        <v>0</v>
      </c>
      <c r="O601" t="str">
        <f>IFERROR(IF(Table1[[#This Row],[Type]]="IN",Table1[[#This Row],[C/D (LC)]],IF(Table1[[#This Row],[Type]]="CN",Table1[[#This Row],[C/D (LC)]],"")),"")</f>
        <v/>
      </c>
      <c r="P601" t="str">
        <f>VLOOKUP(Table1[[#This Row],[Cust '#]],ClientInfo!$A:$B,2,0)</f>
        <v>Client_07</v>
      </c>
    </row>
    <row r="602" spans="1:16">
      <c r="A602" t="s">
        <v>113</v>
      </c>
      <c r="B602" t="s">
        <v>12</v>
      </c>
      <c r="C602">
        <v>140013340</v>
      </c>
      <c r="D602" s="1">
        <v>45547</v>
      </c>
      <c r="E602">
        <v>2385.6</v>
      </c>
      <c r="F602">
        <v>0</v>
      </c>
      <c r="G602">
        <v>700001717</v>
      </c>
      <c r="H602" s="1">
        <v>45566</v>
      </c>
      <c r="I602">
        <f>YEAR(Table1[[#This Row],[Posting Date]])</f>
        <v>2024</v>
      </c>
      <c r="J602">
        <f>MONTH(Table1[[#This Row],[Posting Date]])</f>
        <v>9</v>
      </c>
      <c r="K602" t="str">
        <f>IF(Table1[[#This Row],[Type]]="IN",VLOOKUP(Table1[[#This Row],[Cust '#]],ClientInfo!$A:$D,4,0),"")</f>
        <v>COD</v>
      </c>
      <c r="L602" s="1">
        <f>IF(K602="NET30",Table1[[#This Row],[Posting Date]]+30,IF(K602="NET15",Table1[[#This Row],[Posting Date]]+15,IF(K602="COD",Table1[[#This Row],[Posting Date]],"")))</f>
        <v>45547</v>
      </c>
      <c r="M602" s="4">
        <f>IFERROR(IF(Table1[[#This Row],[Type]]="IN",Table1[[#This Row],[RC Date]]-Table1[[#This Row],[Posting Date]],""),"")</f>
        <v>19</v>
      </c>
      <c r="N602">
        <f>IFERROR(IF(Table1[[#This Row],[Balance Due (LC)]]&lt;&gt;0,$S$1-L602,0),"")</f>
        <v>0</v>
      </c>
      <c r="O602">
        <f>IFERROR(IF(Table1[[#This Row],[Type]]="IN",Table1[[#This Row],[C/D (LC)]],IF(Table1[[#This Row],[Type]]="CN",Table1[[#This Row],[C/D (LC)]],"")),"")</f>
        <v>2385.6</v>
      </c>
      <c r="P602" t="str">
        <f>VLOOKUP(Table1[[#This Row],[Cust '#]],ClientInfo!$A:$B,2,0)</f>
        <v>Client_07</v>
      </c>
    </row>
    <row r="603" spans="1:16">
      <c r="A603" t="s">
        <v>113</v>
      </c>
      <c r="B603" t="s">
        <v>12</v>
      </c>
      <c r="C603">
        <v>140013687</v>
      </c>
      <c r="D603" s="1">
        <v>45554</v>
      </c>
      <c r="E603">
        <v>2676</v>
      </c>
      <c r="F603">
        <v>0</v>
      </c>
      <c r="G603">
        <v>700001717</v>
      </c>
      <c r="H603" s="1">
        <v>45566</v>
      </c>
      <c r="I603">
        <f>YEAR(Table1[[#This Row],[Posting Date]])</f>
        <v>2024</v>
      </c>
      <c r="J603">
        <f>MONTH(Table1[[#This Row],[Posting Date]])</f>
        <v>9</v>
      </c>
      <c r="K603" t="str">
        <f>IF(Table1[[#This Row],[Type]]="IN",VLOOKUP(Table1[[#This Row],[Cust '#]],ClientInfo!$A:$D,4,0),"")</f>
        <v>COD</v>
      </c>
      <c r="L603" s="1">
        <f>IF(K603="NET30",Table1[[#This Row],[Posting Date]]+30,IF(K603="NET15",Table1[[#This Row],[Posting Date]]+15,IF(K603="COD",Table1[[#This Row],[Posting Date]],"")))</f>
        <v>45554</v>
      </c>
      <c r="M603" s="4">
        <f>IFERROR(IF(Table1[[#This Row],[Type]]="IN",Table1[[#This Row],[RC Date]]-Table1[[#This Row],[Posting Date]],""),"")</f>
        <v>12</v>
      </c>
      <c r="N603">
        <f>IFERROR(IF(Table1[[#This Row],[Balance Due (LC)]]&lt;&gt;0,$S$1-L603,0),"")</f>
        <v>0</v>
      </c>
      <c r="O603">
        <f>IFERROR(IF(Table1[[#This Row],[Type]]="IN",Table1[[#This Row],[C/D (LC)]],IF(Table1[[#This Row],[Type]]="CN",Table1[[#This Row],[C/D (LC)]],"")),"")</f>
        <v>2676</v>
      </c>
      <c r="P603" t="str">
        <f>VLOOKUP(Table1[[#This Row],[Cust '#]],ClientInfo!$A:$B,2,0)</f>
        <v>Client_07</v>
      </c>
    </row>
    <row r="604" spans="1:16">
      <c r="A604" t="s">
        <v>113</v>
      </c>
      <c r="B604" t="s">
        <v>12</v>
      </c>
      <c r="C604">
        <v>140014003</v>
      </c>
      <c r="D604" s="1">
        <v>45561</v>
      </c>
      <c r="E604">
        <v>1734.1</v>
      </c>
      <c r="F604">
        <v>0</v>
      </c>
      <c r="G604">
        <v>700001717</v>
      </c>
      <c r="H604" s="1">
        <v>45566</v>
      </c>
      <c r="I604">
        <f>YEAR(Table1[[#This Row],[Posting Date]])</f>
        <v>2024</v>
      </c>
      <c r="J604">
        <f>MONTH(Table1[[#This Row],[Posting Date]])</f>
        <v>9</v>
      </c>
      <c r="K604" t="str">
        <f>IF(Table1[[#This Row],[Type]]="IN",VLOOKUP(Table1[[#This Row],[Cust '#]],ClientInfo!$A:$D,4,0),"")</f>
        <v>COD</v>
      </c>
      <c r="L604" s="1">
        <f>IF(K604="NET30",Table1[[#This Row],[Posting Date]]+30,IF(K604="NET15",Table1[[#This Row],[Posting Date]]+15,IF(K604="COD",Table1[[#This Row],[Posting Date]],"")))</f>
        <v>45561</v>
      </c>
      <c r="M604" s="4">
        <f>IFERROR(IF(Table1[[#This Row],[Type]]="IN",Table1[[#This Row],[RC Date]]-Table1[[#This Row],[Posting Date]],""),"")</f>
        <v>5</v>
      </c>
      <c r="N604">
        <f>IFERROR(IF(Table1[[#This Row],[Balance Due (LC)]]&lt;&gt;0,$S$1-L604,0),"")</f>
        <v>0</v>
      </c>
      <c r="O604">
        <f>IFERROR(IF(Table1[[#This Row],[Type]]="IN",Table1[[#This Row],[C/D (LC)]],IF(Table1[[#This Row],[Type]]="CN",Table1[[#This Row],[C/D (LC)]],"")),"")</f>
        <v>1734.1</v>
      </c>
      <c r="P604" t="str">
        <f>VLOOKUP(Table1[[#This Row],[Cust '#]],ClientInfo!$A:$B,2,0)</f>
        <v>Client_07</v>
      </c>
    </row>
    <row r="605" spans="1:16">
      <c r="A605" t="s">
        <v>113</v>
      </c>
      <c r="B605" t="s">
        <v>10</v>
      </c>
      <c r="C605">
        <v>700001717</v>
      </c>
      <c r="D605" s="1">
        <v>45566</v>
      </c>
      <c r="E605">
        <v>-6795.7</v>
      </c>
      <c r="F605">
        <v>0</v>
      </c>
      <c r="G605">
        <v>700001717</v>
      </c>
      <c r="H605" s="1">
        <v>45566</v>
      </c>
      <c r="I605">
        <f>YEAR(Table1[[#This Row],[Posting Date]])</f>
        <v>2024</v>
      </c>
      <c r="J605">
        <f>MONTH(Table1[[#This Row],[Posting Date]])</f>
        <v>10</v>
      </c>
      <c r="K605" t="str">
        <f>IF(Table1[[#This Row],[Type]]="IN",VLOOKUP(Table1[[#This Row],[Cust '#]],ClientInfo!$A:$D,4,0),"")</f>
        <v/>
      </c>
      <c r="L605" s="1" t="str">
        <f>IF(K605="NET30",Table1[[#This Row],[Posting Date]]+30,IF(K605="NET15",Table1[[#This Row],[Posting Date]]+15,IF(K605="COD",Table1[[#This Row],[Posting Date]],"")))</f>
        <v/>
      </c>
      <c r="M605" s="4" t="str">
        <f>IFERROR(IF(Table1[[#This Row],[Type]]="IN",Table1[[#This Row],[RC Date]]-Table1[[#This Row],[Posting Date]],""),"")</f>
        <v/>
      </c>
      <c r="N605">
        <f>IFERROR(IF(Table1[[#This Row],[Balance Due (LC)]]&lt;&gt;0,$S$1-L605,0),"")</f>
        <v>0</v>
      </c>
      <c r="O605" t="str">
        <f>IFERROR(IF(Table1[[#This Row],[Type]]="IN",Table1[[#This Row],[C/D (LC)]],IF(Table1[[#This Row],[Type]]="CN",Table1[[#This Row],[C/D (LC)]],"")),"")</f>
        <v/>
      </c>
      <c r="P605" t="str">
        <f>VLOOKUP(Table1[[#This Row],[Cust '#]],ClientInfo!$A:$B,2,0)</f>
        <v>Client_07</v>
      </c>
    </row>
    <row r="606" spans="1:16">
      <c r="A606" t="s">
        <v>113</v>
      </c>
      <c r="B606" t="s">
        <v>12</v>
      </c>
      <c r="C606">
        <v>140014414</v>
      </c>
      <c r="D606" s="1">
        <v>45569</v>
      </c>
      <c r="E606">
        <v>2075.4</v>
      </c>
      <c r="F606">
        <v>0</v>
      </c>
      <c r="G606">
        <v>700001831</v>
      </c>
      <c r="H606" s="1">
        <v>45581</v>
      </c>
      <c r="I606">
        <f>YEAR(Table1[[#This Row],[Posting Date]])</f>
        <v>2024</v>
      </c>
      <c r="J606">
        <f>MONTH(Table1[[#This Row],[Posting Date]])</f>
        <v>10</v>
      </c>
      <c r="K606" t="str">
        <f>IF(Table1[[#This Row],[Type]]="IN",VLOOKUP(Table1[[#This Row],[Cust '#]],ClientInfo!$A:$D,4,0),"")</f>
        <v>COD</v>
      </c>
      <c r="L606" s="1">
        <f>IF(K606="NET30",Table1[[#This Row],[Posting Date]]+30,IF(K606="NET15",Table1[[#This Row],[Posting Date]]+15,IF(K606="COD",Table1[[#This Row],[Posting Date]],"")))</f>
        <v>45569</v>
      </c>
      <c r="M606" s="4">
        <f>IFERROR(IF(Table1[[#This Row],[Type]]="IN",Table1[[#This Row],[RC Date]]-Table1[[#This Row],[Posting Date]],""),"")</f>
        <v>12</v>
      </c>
      <c r="N606">
        <f>IFERROR(IF(Table1[[#This Row],[Balance Due (LC)]]&lt;&gt;0,$S$1-L606,0),"")</f>
        <v>0</v>
      </c>
      <c r="O606">
        <f>IFERROR(IF(Table1[[#This Row],[Type]]="IN",Table1[[#This Row],[C/D (LC)]],IF(Table1[[#This Row],[Type]]="CN",Table1[[#This Row],[C/D (LC)]],"")),"")</f>
        <v>2075.4</v>
      </c>
      <c r="P606" t="str">
        <f>VLOOKUP(Table1[[#This Row],[Cust '#]],ClientInfo!$A:$B,2,0)</f>
        <v>Client_07</v>
      </c>
    </row>
    <row r="607" spans="1:16">
      <c r="A607" t="s">
        <v>113</v>
      </c>
      <c r="B607" t="s">
        <v>12</v>
      </c>
      <c r="C607">
        <v>140014674</v>
      </c>
      <c r="D607" s="1">
        <v>45575</v>
      </c>
      <c r="E607">
        <v>2222.5</v>
      </c>
      <c r="F607">
        <v>0</v>
      </c>
      <c r="G607">
        <v>700001831</v>
      </c>
      <c r="H607" s="1">
        <v>45581</v>
      </c>
      <c r="I607">
        <f>YEAR(Table1[[#This Row],[Posting Date]])</f>
        <v>2024</v>
      </c>
      <c r="J607">
        <f>MONTH(Table1[[#This Row],[Posting Date]])</f>
        <v>10</v>
      </c>
      <c r="K607" t="str">
        <f>IF(Table1[[#This Row],[Type]]="IN",VLOOKUP(Table1[[#This Row],[Cust '#]],ClientInfo!$A:$D,4,0),"")</f>
        <v>COD</v>
      </c>
      <c r="L607" s="1">
        <f>IF(K607="NET30",Table1[[#This Row],[Posting Date]]+30,IF(K607="NET15",Table1[[#This Row],[Posting Date]]+15,IF(K607="COD",Table1[[#This Row],[Posting Date]],"")))</f>
        <v>45575</v>
      </c>
      <c r="M607" s="4">
        <f>IFERROR(IF(Table1[[#This Row],[Type]]="IN",Table1[[#This Row],[RC Date]]-Table1[[#This Row],[Posting Date]],""),"")</f>
        <v>6</v>
      </c>
      <c r="N607">
        <f>IFERROR(IF(Table1[[#This Row],[Balance Due (LC)]]&lt;&gt;0,$S$1-L607,0),"")</f>
        <v>0</v>
      </c>
      <c r="O607">
        <f>IFERROR(IF(Table1[[#This Row],[Type]]="IN",Table1[[#This Row],[C/D (LC)]],IF(Table1[[#This Row],[Type]]="CN",Table1[[#This Row],[C/D (LC)]],"")),"")</f>
        <v>2222.5</v>
      </c>
      <c r="P607" t="str">
        <f>VLOOKUP(Table1[[#This Row],[Cust '#]],ClientInfo!$A:$B,2,0)</f>
        <v>Client_07</v>
      </c>
    </row>
    <row r="608" spans="1:16">
      <c r="A608" t="s">
        <v>113</v>
      </c>
      <c r="B608" t="s">
        <v>10</v>
      </c>
      <c r="C608">
        <v>700001831</v>
      </c>
      <c r="D608" s="1">
        <v>45581</v>
      </c>
      <c r="E608">
        <v>-10996</v>
      </c>
      <c r="F608">
        <v>0</v>
      </c>
      <c r="G608">
        <v>700001831</v>
      </c>
      <c r="H608" s="1">
        <v>45581</v>
      </c>
      <c r="I608">
        <f>YEAR(Table1[[#This Row],[Posting Date]])</f>
        <v>2024</v>
      </c>
      <c r="J608">
        <f>MONTH(Table1[[#This Row],[Posting Date]])</f>
        <v>10</v>
      </c>
      <c r="K608" t="str">
        <f>IF(Table1[[#This Row],[Type]]="IN",VLOOKUP(Table1[[#This Row],[Cust '#]],ClientInfo!$A:$D,4,0),"")</f>
        <v/>
      </c>
      <c r="L608" s="1" t="str">
        <f>IF(K608="NET30",Table1[[#This Row],[Posting Date]]+30,IF(K608="NET15",Table1[[#This Row],[Posting Date]]+15,IF(K608="COD",Table1[[#This Row],[Posting Date]],"")))</f>
        <v/>
      </c>
      <c r="M608" s="4" t="str">
        <f>IFERROR(IF(Table1[[#This Row],[Type]]="IN",Table1[[#This Row],[RC Date]]-Table1[[#This Row],[Posting Date]],""),"")</f>
        <v/>
      </c>
      <c r="N608">
        <f>IFERROR(IF(Table1[[#This Row],[Balance Due (LC)]]&lt;&gt;0,$S$1-L608,0),"")</f>
        <v>0</v>
      </c>
      <c r="O608" t="str">
        <f>IFERROR(IF(Table1[[#This Row],[Type]]="IN",Table1[[#This Row],[C/D (LC)]],IF(Table1[[#This Row],[Type]]="CN",Table1[[#This Row],[C/D (LC)]],"")),"")</f>
        <v/>
      </c>
      <c r="P608" t="str">
        <f>VLOOKUP(Table1[[#This Row],[Cust '#]],ClientInfo!$A:$B,2,0)</f>
        <v>Client_07</v>
      </c>
    </row>
    <row r="609" spans="1:16">
      <c r="A609" t="s">
        <v>113</v>
      </c>
      <c r="B609" t="s">
        <v>12</v>
      </c>
      <c r="C609">
        <v>140014991</v>
      </c>
      <c r="D609" s="1">
        <v>45582</v>
      </c>
      <c r="E609">
        <v>6457.3</v>
      </c>
      <c r="F609">
        <v>0</v>
      </c>
      <c r="G609">
        <v>700002056</v>
      </c>
      <c r="H609" s="1">
        <v>45615</v>
      </c>
      <c r="I609">
        <f>YEAR(Table1[[#This Row],[Posting Date]])</f>
        <v>2024</v>
      </c>
      <c r="J609">
        <f>MONTH(Table1[[#This Row],[Posting Date]])</f>
        <v>10</v>
      </c>
      <c r="K609" t="str">
        <f>IF(Table1[[#This Row],[Type]]="IN",VLOOKUP(Table1[[#This Row],[Cust '#]],ClientInfo!$A:$D,4,0),"")</f>
        <v>COD</v>
      </c>
      <c r="L609" s="1">
        <f>IF(K609="NET30",Table1[[#This Row],[Posting Date]]+30,IF(K609="NET15",Table1[[#This Row],[Posting Date]]+15,IF(K609="COD",Table1[[#This Row],[Posting Date]],"")))</f>
        <v>45582</v>
      </c>
      <c r="M609" s="4">
        <f>IFERROR(IF(Table1[[#This Row],[Type]]="IN",Table1[[#This Row],[RC Date]]-Table1[[#This Row],[Posting Date]],""),"")</f>
        <v>33</v>
      </c>
      <c r="N609">
        <f>IFERROR(IF(Table1[[#This Row],[Balance Due (LC)]]&lt;&gt;0,$S$1-L609,0),"")</f>
        <v>0</v>
      </c>
      <c r="O609">
        <f>IFERROR(IF(Table1[[#This Row],[Type]]="IN",Table1[[#This Row],[C/D (LC)]],IF(Table1[[#This Row],[Type]]="CN",Table1[[#This Row],[C/D (LC)]],"")),"")</f>
        <v>6457.3</v>
      </c>
      <c r="P609" t="str">
        <f>VLOOKUP(Table1[[#This Row],[Cust '#]],ClientInfo!$A:$B,2,0)</f>
        <v>Client_07</v>
      </c>
    </row>
    <row r="610" spans="1:16">
      <c r="A610" t="s">
        <v>113</v>
      </c>
      <c r="B610" t="s">
        <v>12</v>
      </c>
      <c r="C610">
        <v>140015054</v>
      </c>
      <c r="D610" s="1">
        <v>45583</v>
      </c>
      <c r="E610">
        <v>642.1</v>
      </c>
      <c r="F610">
        <v>0</v>
      </c>
      <c r="G610">
        <v>700002056</v>
      </c>
      <c r="H610" s="1">
        <v>45615</v>
      </c>
      <c r="I610">
        <f>YEAR(Table1[[#This Row],[Posting Date]])</f>
        <v>2024</v>
      </c>
      <c r="J610">
        <f>MONTH(Table1[[#This Row],[Posting Date]])</f>
        <v>10</v>
      </c>
      <c r="K610" t="str">
        <f>IF(Table1[[#This Row],[Type]]="IN",VLOOKUP(Table1[[#This Row],[Cust '#]],ClientInfo!$A:$D,4,0),"")</f>
        <v>COD</v>
      </c>
      <c r="L610" s="1">
        <f>IF(K610="NET30",Table1[[#This Row],[Posting Date]]+30,IF(K610="NET15",Table1[[#This Row],[Posting Date]]+15,IF(K610="COD",Table1[[#This Row],[Posting Date]],"")))</f>
        <v>45583</v>
      </c>
      <c r="M610" s="4">
        <f>IFERROR(IF(Table1[[#This Row],[Type]]="IN",Table1[[#This Row],[RC Date]]-Table1[[#This Row],[Posting Date]],""),"")</f>
        <v>32</v>
      </c>
      <c r="N610">
        <f>IFERROR(IF(Table1[[#This Row],[Balance Due (LC)]]&lt;&gt;0,$S$1-L610,0),"")</f>
        <v>0</v>
      </c>
      <c r="O610">
        <f>IFERROR(IF(Table1[[#This Row],[Type]]="IN",Table1[[#This Row],[C/D (LC)]],IF(Table1[[#This Row],[Type]]="CN",Table1[[#This Row],[C/D (LC)]],"")),"")</f>
        <v>642.1</v>
      </c>
      <c r="P610" t="str">
        <f>VLOOKUP(Table1[[#This Row],[Cust '#]],ClientInfo!$A:$B,2,0)</f>
        <v>Client_07</v>
      </c>
    </row>
    <row r="611" spans="1:16">
      <c r="A611" t="s">
        <v>113</v>
      </c>
      <c r="B611" t="s">
        <v>12</v>
      </c>
      <c r="C611">
        <v>140015342</v>
      </c>
      <c r="D611" s="1">
        <v>45589</v>
      </c>
      <c r="E611">
        <v>2362.8000000000002</v>
      </c>
      <c r="F611">
        <v>0</v>
      </c>
      <c r="G611">
        <v>700002056</v>
      </c>
      <c r="H611" s="1">
        <v>45615</v>
      </c>
      <c r="I611">
        <f>YEAR(Table1[[#This Row],[Posting Date]])</f>
        <v>2024</v>
      </c>
      <c r="J611">
        <f>MONTH(Table1[[#This Row],[Posting Date]])</f>
        <v>10</v>
      </c>
      <c r="K611" t="str">
        <f>IF(Table1[[#This Row],[Type]]="IN",VLOOKUP(Table1[[#This Row],[Cust '#]],ClientInfo!$A:$D,4,0),"")</f>
        <v>COD</v>
      </c>
      <c r="L611" s="1">
        <f>IF(K611="NET30",Table1[[#This Row],[Posting Date]]+30,IF(K611="NET15",Table1[[#This Row],[Posting Date]]+15,IF(K611="COD",Table1[[#This Row],[Posting Date]],"")))</f>
        <v>45589</v>
      </c>
      <c r="M611" s="4">
        <f>IFERROR(IF(Table1[[#This Row],[Type]]="IN",Table1[[#This Row],[RC Date]]-Table1[[#This Row],[Posting Date]],""),"")</f>
        <v>26</v>
      </c>
      <c r="N611">
        <f>IFERROR(IF(Table1[[#This Row],[Balance Due (LC)]]&lt;&gt;0,$S$1-L611,0),"")</f>
        <v>0</v>
      </c>
      <c r="O611">
        <f>IFERROR(IF(Table1[[#This Row],[Type]]="IN",Table1[[#This Row],[C/D (LC)]],IF(Table1[[#This Row],[Type]]="CN",Table1[[#This Row],[C/D (LC)]],"")),"")</f>
        <v>2362.8000000000002</v>
      </c>
      <c r="P611" t="str">
        <f>VLOOKUP(Table1[[#This Row],[Cust '#]],ClientInfo!$A:$B,2,0)</f>
        <v>Client_07</v>
      </c>
    </row>
    <row r="612" spans="1:16">
      <c r="A612" t="s">
        <v>113</v>
      </c>
      <c r="B612" t="s">
        <v>12</v>
      </c>
      <c r="C612">
        <v>140015671</v>
      </c>
      <c r="D612" s="1">
        <v>45596</v>
      </c>
      <c r="E612">
        <v>1750.7</v>
      </c>
      <c r="F612">
        <v>0</v>
      </c>
      <c r="G612">
        <v>700002056</v>
      </c>
      <c r="H612" s="1">
        <v>45615</v>
      </c>
      <c r="I612">
        <f>YEAR(Table1[[#This Row],[Posting Date]])</f>
        <v>2024</v>
      </c>
      <c r="J612">
        <f>MONTH(Table1[[#This Row],[Posting Date]])</f>
        <v>10</v>
      </c>
      <c r="K612" t="str">
        <f>IF(Table1[[#This Row],[Type]]="IN",VLOOKUP(Table1[[#This Row],[Cust '#]],ClientInfo!$A:$D,4,0),"")</f>
        <v>COD</v>
      </c>
      <c r="L612" s="1">
        <f>IF(K612="NET30",Table1[[#This Row],[Posting Date]]+30,IF(K612="NET15",Table1[[#This Row],[Posting Date]]+15,IF(K612="COD",Table1[[#This Row],[Posting Date]],"")))</f>
        <v>45596</v>
      </c>
      <c r="M612" s="4">
        <f>IFERROR(IF(Table1[[#This Row],[Type]]="IN",Table1[[#This Row],[RC Date]]-Table1[[#This Row],[Posting Date]],""),"")</f>
        <v>19</v>
      </c>
      <c r="N612">
        <f>IFERROR(IF(Table1[[#This Row],[Balance Due (LC)]]&lt;&gt;0,$S$1-L612,0),"")</f>
        <v>0</v>
      </c>
      <c r="O612">
        <f>IFERROR(IF(Table1[[#This Row],[Type]]="IN",Table1[[#This Row],[C/D (LC)]],IF(Table1[[#This Row],[Type]]="CN",Table1[[#This Row],[C/D (LC)]],"")),"")</f>
        <v>1750.7</v>
      </c>
      <c r="P612" t="str">
        <f>VLOOKUP(Table1[[#This Row],[Cust '#]],ClientInfo!$A:$B,2,0)</f>
        <v>Client_07</v>
      </c>
    </row>
    <row r="613" spans="1:16">
      <c r="A613" t="s">
        <v>113</v>
      </c>
      <c r="B613" t="s">
        <v>12</v>
      </c>
      <c r="C613">
        <v>140016028</v>
      </c>
      <c r="D613" s="1">
        <v>45603</v>
      </c>
      <c r="E613">
        <v>1486.6</v>
      </c>
      <c r="F613">
        <v>0</v>
      </c>
      <c r="G613">
        <v>700002056</v>
      </c>
      <c r="H613" s="1">
        <v>45615</v>
      </c>
      <c r="I613">
        <f>YEAR(Table1[[#This Row],[Posting Date]])</f>
        <v>2024</v>
      </c>
      <c r="J613">
        <f>MONTH(Table1[[#This Row],[Posting Date]])</f>
        <v>11</v>
      </c>
      <c r="K613" t="str">
        <f>IF(Table1[[#This Row],[Type]]="IN",VLOOKUP(Table1[[#This Row],[Cust '#]],ClientInfo!$A:$D,4,0),"")</f>
        <v>COD</v>
      </c>
      <c r="L613" s="1">
        <f>IF(K613="NET30",Table1[[#This Row],[Posting Date]]+30,IF(K613="NET15",Table1[[#This Row],[Posting Date]]+15,IF(K613="COD",Table1[[#This Row],[Posting Date]],"")))</f>
        <v>45603</v>
      </c>
      <c r="M613" s="4">
        <f>IFERROR(IF(Table1[[#This Row],[Type]]="IN",Table1[[#This Row],[RC Date]]-Table1[[#This Row],[Posting Date]],""),"")</f>
        <v>12</v>
      </c>
      <c r="N613">
        <f>IFERROR(IF(Table1[[#This Row],[Balance Due (LC)]]&lt;&gt;0,$S$1-L613,0),"")</f>
        <v>0</v>
      </c>
      <c r="O613">
        <f>IFERROR(IF(Table1[[#This Row],[Type]]="IN",Table1[[#This Row],[C/D (LC)]],IF(Table1[[#This Row],[Type]]="CN",Table1[[#This Row],[C/D (LC)]],"")),"")</f>
        <v>1486.6</v>
      </c>
      <c r="P613" t="str">
        <f>VLOOKUP(Table1[[#This Row],[Cust '#]],ClientInfo!$A:$B,2,0)</f>
        <v>Client_07</v>
      </c>
    </row>
    <row r="614" spans="1:16">
      <c r="A614" t="s">
        <v>113</v>
      </c>
      <c r="B614" t="s">
        <v>12</v>
      </c>
      <c r="C614">
        <v>140016365</v>
      </c>
      <c r="D614" s="1">
        <v>45610</v>
      </c>
      <c r="E614">
        <v>4328.1000000000004</v>
      </c>
      <c r="F614">
        <v>0</v>
      </c>
      <c r="G614">
        <v>700002056</v>
      </c>
      <c r="H614" s="1">
        <v>45615</v>
      </c>
      <c r="I614">
        <f>YEAR(Table1[[#This Row],[Posting Date]])</f>
        <v>2024</v>
      </c>
      <c r="J614">
        <f>MONTH(Table1[[#This Row],[Posting Date]])</f>
        <v>11</v>
      </c>
      <c r="K614" t="str">
        <f>IF(Table1[[#This Row],[Type]]="IN",VLOOKUP(Table1[[#This Row],[Cust '#]],ClientInfo!$A:$D,4,0),"")</f>
        <v>COD</v>
      </c>
      <c r="L614" s="1">
        <f>IF(K614="NET30",Table1[[#This Row],[Posting Date]]+30,IF(K614="NET15",Table1[[#This Row],[Posting Date]]+15,IF(K614="COD",Table1[[#This Row],[Posting Date]],"")))</f>
        <v>45610</v>
      </c>
      <c r="M614" s="4">
        <f>IFERROR(IF(Table1[[#This Row],[Type]]="IN",Table1[[#This Row],[RC Date]]-Table1[[#This Row],[Posting Date]],""),"")</f>
        <v>5</v>
      </c>
      <c r="N614">
        <f>IFERROR(IF(Table1[[#This Row],[Balance Due (LC)]]&lt;&gt;0,$S$1-L614,0),"")</f>
        <v>0</v>
      </c>
      <c r="O614">
        <f>IFERROR(IF(Table1[[#This Row],[Type]]="IN",Table1[[#This Row],[C/D (LC)]],IF(Table1[[#This Row],[Type]]="CN",Table1[[#This Row],[C/D (LC)]],"")),"")</f>
        <v>4328.1000000000004</v>
      </c>
      <c r="P614" t="str">
        <f>VLOOKUP(Table1[[#This Row],[Cust '#]],ClientInfo!$A:$B,2,0)</f>
        <v>Client_07</v>
      </c>
    </row>
    <row r="615" spans="1:16">
      <c r="A615" t="s">
        <v>113</v>
      </c>
      <c r="B615" t="s">
        <v>10</v>
      </c>
      <c r="C615">
        <v>700002056</v>
      </c>
      <c r="D615" s="1">
        <v>45615</v>
      </c>
      <c r="E615">
        <v>-10329.5</v>
      </c>
      <c r="F615">
        <v>0</v>
      </c>
      <c r="G615">
        <v>700002056</v>
      </c>
      <c r="H615" s="1">
        <v>45615</v>
      </c>
      <c r="I615">
        <f>YEAR(Table1[[#This Row],[Posting Date]])</f>
        <v>2024</v>
      </c>
      <c r="J615">
        <f>MONTH(Table1[[#This Row],[Posting Date]])</f>
        <v>11</v>
      </c>
      <c r="K615" t="str">
        <f>IF(Table1[[#This Row],[Type]]="IN",VLOOKUP(Table1[[#This Row],[Cust '#]],ClientInfo!$A:$D,4,0),"")</f>
        <v/>
      </c>
      <c r="L615" s="1" t="str">
        <f>IF(K615="NET30",Table1[[#This Row],[Posting Date]]+30,IF(K615="NET15",Table1[[#This Row],[Posting Date]]+15,IF(K615="COD",Table1[[#This Row],[Posting Date]],"")))</f>
        <v/>
      </c>
      <c r="M615" s="4" t="str">
        <f>IFERROR(IF(Table1[[#This Row],[Type]]="IN",Table1[[#This Row],[RC Date]]-Table1[[#This Row],[Posting Date]],""),"")</f>
        <v/>
      </c>
      <c r="N615">
        <f>IFERROR(IF(Table1[[#This Row],[Balance Due (LC)]]&lt;&gt;0,$S$1-L615,0),"")</f>
        <v>0</v>
      </c>
      <c r="O615" t="str">
        <f>IFERROR(IF(Table1[[#This Row],[Type]]="IN",Table1[[#This Row],[C/D (LC)]],IF(Table1[[#This Row],[Type]]="CN",Table1[[#This Row],[C/D (LC)]],"")),"")</f>
        <v/>
      </c>
      <c r="P615" t="str">
        <f>VLOOKUP(Table1[[#This Row],[Cust '#]],ClientInfo!$A:$B,2,0)</f>
        <v>Client_07</v>
      </c>
    </row>
    <row r="616" spans="1:16">
      <c r="A616" t="s">
        <v>113</v>
      </c>
      <c r="B616" t="s">
        <v>12</v>
      </c>
      <c r="C616">
        <v>140016673</v>
      </c>
      <c r="D616" s="1">
        <v>45617</v>
      </c>
      <c r="E616">
        <v>1753.7</v>
      </c>
      <c r="F616">
        <v>0</v>
      </c>
      <c r="G616">
        <v>700002406</v>
      </c>
      <c r="H616" s="1">
        <v>45659</v>
      </c>
      <c r="I616">
        <f>YEAR(Table1[[#This Row],[Posting Date]])</f>
        <v>2024</v>
      </c>
      <c r="J616">
        <f>MONTH(Table1[[#This Row],[Posting Date]])</f>
        <v>11</v>
      </c>
      <c r="K616" t="str">
        <f>IF(Table1[[#This Row],[Type]]="IN",VLOOKUP(Table1[[#This Row],[Cust '#]],ClientInfo!$A:$D,4,0),"")</f>
        <v>COD</v>
      </c>
      <c r="L616" s="1">
        <f>IF(K616="NET30",Table1[[#This Row],[Posting Date]]+30,IF(K616="NET15",Table1[[#This Row],[Posting Date]]+15,IF(K616="COD",Table1[[#This Row],[Posting Date]],"")))</f>
        <v>45617</v>
      </c>
      <c r="M616" s="4">
        <f>IFERROR(IF(Table1[[#This Row],[Type]]="IN",Table1[[#This Row],[RC Date]]-Table1[[#This Row],[Posting Date]],""),"")</f>
        <v>42</v>
      </c>
      <c r="N616">
        <f>IFERROR(IF(Table1[[#This Row],[Balance Due (LC)]]&lt;&gt;0,$S$1-L616,0),"")</f>
        <v>0</v>
      </c>
      <c r="O616">
        <f>IFERROR(IF(Table1[[#This Row],[Type]]="IN",Table1[[#This Row],[C/D (LC)]],IF(Table1[[#This Row],[Type]]="CN",Table1[[#This Row],[C/D (LC)]],"")),"")</f>
        <v>1753.7</v>
      </c>
      <c r="P616" t="str">
        <f>VLOOKUP(Table1[[#This Row],[Cust '#]],ClientInfo!$A:$B,2,0)</f>
        <v>Client_07</v>
      </c>
    </row>
    <row r="617" spans="1:16">
      <c r="A617" t="s">
        <v>113</v>
      </c>
      <c r="B617" t="s">
        <v>12</v>
      </c>
      <c r="C617">
        <v>140017033</v>
      </c>
      <c r="D617" s="1">
        <v>45624</v>
      </c>
      <c r="E617">
        <v>940.8</v>
      </c>
      <c r="F617">
        <v>0</v>
      </c>
      <c r="G617">
        <v>700002406</v>
      </c>
      <c r="H617" s="1">
        <v>45659</v>
      </c>
      <c r="I617">
        <f>YEAR(Table1[[#This Row],[Posting Date]])</f>
        <v>2024</v>
      </c>
      <c r="J617">
        <f>MONTH(Table1[[#This Row],[Posting Date]])</f>
        <v>11</v>
      </c>
      <c r="K617" t="str">
        <f>IF(Table1[[#This Row],[Type]]="IN",VLOOKUP(Table1[[#This Row],[Cust '#]],ClientInfo!$A:$D,4,0),"")</f>
        <v>COD</v>
      </c>
      <c r="L617" s="1">
        <f>IF(K617="NET30",Table1[[#This Row],[Posting Date]]+30,IF(K617="NET15",Table1[[#This Row],[Posting Date]]+15,IF(K617="COD",Table1[[#This Row],[Posting Date]],"")))</f>
        <v>45624</v>
      </c>
      <c r="M617" s="4">
        <f>IFERROR(IF(Table1[[#This Row],[Type]]="IN",Table1[[#This Row],[RC Date]]-Table1[[#This Row],[Posting Date]],""),"")</f>
        <v>35</v>
      </c>
      <c r="N617">
        <f>IFERROR(IF(Table1[[#This Row],[Balance Due (LC)]]&lt;&gt;0,$S$1-L617,0),"")</f>
        <v>0</v>
      </c>
      <c r="O617">
        <f>IFERROR(IF(Table1[[#This Row],[Type]]="IN",Table1[[#This Row],[C/D (LC)]],IF(Table1[[#This Row],[Type]]="CN",Table1[[#This Row],[C/D (LC)]],"")),"")</f>
        <v>940.8</v>
      </c>
      <c r="P617" t="str">
        <f>VLOOKUP(Table1[[#This Row],[Cust '#]],ClientInfo!$A:$B,2,0)</f>
        <v>Client_07</v>
      </c>
    </row>
    <row r="618" spans="1:16">
      <c r="A618" t="s">
        <v>113</v>
      </c>
      <c r="B618" t="s">
        <v>13</v>
      </c>
      <c r="C618">
        <v>150000737</v>
      </c>
      <c r="D618" s="1">
        <v>45626</v>
      </c>
      <c r="E618">
        <v>-80</v>
      </c>
      <c r="F618">
        <v>0</v>
      </c>
      <c r="G618">
        <v>700002406</v>
      </c>
      <c r="H618" s="1">
        <v>45659</v>
      </c>
      <c r="I618">
        <f>YEAR(Table1[[#This Row],[Posting Date]])</f>
        <v>2024</v>
      </c>
      <c r="J618">
        <f>MONTH(Table1[[#This Row],[Posting Date]])</f>
        <v>11</v>
      </c>
      <c r="K618" t="str">
        <f>IF(Table1[[#This Row],[Type]]="IN",VLOOKUP(Table1[[#This Row],[Cust '#]],ClientInfo!$A:$D,4,0),"")</f>
        <v/>
      </c>
      <c r="L618" s="1" t="str">
        <f>IF(K618="NET30",Table1[[#This Row],[Posting Date]]+30,IF(K618="NET15",Table1[[#This Row],[Posting Date]]+15,IF(K618="COD",Table1[[#This Row],[Posting Date]],"")))</f>
        <v/>
      </c>
      <c r="M618" s="4" t="str">
        <f>IFERROR(IF(Table1[[#This Row],[Type]]="IN",Table1[[#This Row],[RC Date]]-Table1[[#This Row],[Posting Date]],""),"")</f>
        <v/>
      </c>
      <c r="N618">
        <f>IFERROR(IF(Table1[[#This Row],[Balance Due (LC)]]&lt;&gt;0,$S$1-L618,0),"")</f>
        <v>0</v>
      </c>
      <c r="O618">
        <f>IFERROR(IF(Table1[[#This Row],[Type]]="IN",Table1[[#This Row],[C/D (LC)]],IF(Table1[[#This Row],[Type]]="CN",Table1[[#This Row],[C/D (LC)]],"")),"")</f>
        <v>-80</v>
      </c>
      <c r="P618" t="str">
        <f>VLOOKUP(Table1[[#This Row],[Cust '#]],ClientInfo!$A:$B,2,0)</f>
        <v>Client_07</v>
      </c>
    </row>
    <row r="619" spans="1:16">
      <c r="A619" t="s">
        <v>113</v>
      </c>
      <c r="B619" t="s">
        <v>12</v>
      </c>
      <c r="C619">
        <v>140017353</v>
      </c>
      <c r="D619" s="1">
        <v>45631</v>
      </c>
      <c r="E619">
        <v>1858.6</v>
      </c>
      <c r="F619">
        <v>0</v>
      </c>
      <c r="G619">
        <v>700002406</v>
      </c>
      <c r="H619" s="1">
        <v>45659</v>
      </c>
      <c r="I619">
        <f>YEAR(Table1[[#This Row],[Posting Date]])</f>
        <v>2024</v>
      </c>
      <c r="J619">
        <f>MONTH(Table1[[#This Row],[Posting Date]])</f>
        <v>12</v>
      </c>
      <c r="K619" t="str">
        <f>IF(Table1[[#This Row],[Type]]="IN",VLOOKUP(Table1[[#This Row],[Cust '#]],ClientInfo!$A:$D,4,0),"")</f>
        <v>COD</v>
      </c>
      <c r="L619" s="1">
        <f>IF(K619="NET30",Table1[[#This Row],[Posting Date]]+30,IF(K619="NET15",Table1[[#This Row],[Posting Date]]+15,IF(K619="COD",Table1[[#This Row],[Posting Date]],"")))</f>
        <v>45631</v>
      </c>
      <c r="M619" s="4">
        <f>IFERROR(IF(Table1[[#This Row],[Type]]="IN",Table1[[#This Row],[RC Date]]-Table1[[#This Row],[Posting Date]],""),"")</f>
        <v>28</v>
      </c>
      <c r="N619">
        <f>IFERROR(IF(Table1[[#This Row],[Balance Due (LC)]]&lt;&gt;0,$S$1-L619,0),"")</f>
        <v>0</v>
      </c>
      <c r="O619">
        <f>IFERROR(IF(Table1[[#This Row],[Type]]="IN",Table1[[#This Row],[C/D (LC)]],IF(Table1[[#This Row],[Type]]="CN",Table1[[#This Row],[C/D (LC)]],"")),"")</f>
        <v>1858.6</v>
      </c>
      <c r="P619" t="str">
        <f>VLOOKUP(Table1[[#This Row],[Cust '#]],ClientInfo!$A:$B,2,0)</f>
        <v>Client_07</v>
      </c>
    </row>
    <row r="620" spans="1:16">
      <c r="A620" t="s">
        <v>113</v>
      </c>
      <c r="B620" t="s">
        <v>12</v>
      </c>
      <c r="C620">
        <v>140017654</v>
      </c>
      <c r="D620" s="1">
        <v>45638</v>
      </c>
      <c r="E620">
        <v>2064.1999999999998</v>
      </c>
      <c r="F620">
        <v>0</v>
      </c>
      <c r="G620">
        <v>700002406</v>
      </c>
      <c r="H620" s="1">
        <v>45659</v>
      </c>
      <c r="I620">
        <f>YEAR(Table1[[#This Row],[Posting Date]])</f>
        <v>2024</v>
      </c>
      <c r="J620">
        <f>MONTH(Table1[[#This Row],[Posting Date]])</f>
        <v>12</v>
      </c>
      <c r="K620" t="str">
        <f>IF(Table1[[#This Row],[Type]]="IN",VLOOKUP(Table1[[#This Row],[Cust '#]],ClientInfo!$A:$D,4,0),"")</f>
        <v>COD</v>
      </c>
      <c r="L620" s="1">
        <f>IF(K620="NET30",Table1[[#This Row],[Posting Date]]+30,IF(K620="NET15",Table1[[#This Row],[Posting Date]]+15,IF(K620="COD",Table1[[#This Row],[Posting Date]],"")))</f>
        <v>45638</v>
      </c>
      <c r="M620" s="4">
        <f>IFERROR(IF(Table1[[#This Row],[Type]]="IN",Table1[[#This Row],[RC Date]]-Table1[[#This Row],[Posting Date]],""),"")</f>
        <v>21</v>
      </c>
      <c r="N620">
        <f>IFERROR(IF(Table1[[#This Row],[Balance Due (LC)]]&lt;&gt;0,$S$1-L620,0),"")</f>
        <v>0</v>
      </c>
      <c r="O620">
        <f>IFERROR(IF(Table1[[#This Row],[Type]]="IN",Table1[[#This Row],[C/D (LC)]],IF(Table1[[#This Row],[Type]]="CN",Table1[[#This Row],[C/D (LC)]],"")),"")</f>
        <v>2064.1999999999998</v>
      </c>
      <c r="P620" t="str">
        <f>VLOOKUP(Table1[[#This Row],[Cust '#]],ClientInfo!$A:$B,2,0)</f>
        <v>Client_07</v>
      </c>
    </row>
    <row r="621" spans="1:16">
      <c r="A621" t="s">
        <v>113</v>
      </c>
      <c r="B621" t="s">
        <v>12</v>
      </c>
      <c r="C621">
        <v>140018053</v>
      </c>
      <c r="D621" s="1">
        <v>45646</v>
      </c>
      <c r="E621">
        <v>1521.9</v>
      </c>
      <c r="F621">
        <v>0</v>
      </c>
      <c r="G621">
        <v>700002406</v>
      </c>
      <c r="H621" s="1">
        <v>45659</v>
      </c>
      <c r="I621">
        <f>YEAR(Table1[[#This Row],[Posting Date]])</f>
        <v>2024</v>
      </c>
      <c r="J621">
        <f>MONTH(Table1[[#This Row],[Posting Date]])</f>
        <v>12</v>
      </c>
      <c r="K621" t="str">
        <f>IF(Table1[[#This Row],[Type]]="IN",VLOOKUP(Table1[[#This Row],[Cust '#]],ClientInfo!$A:$D,4,0),"")</f>
        <v>COD</v>
      </c>
      <c r="L621" s="1">
        <f>IF(K621="NET30",Table1[[#This Row],[Posting Date]]+30,IF(K621="NET15",Table1[[#This Row],[Posting Date]]+15,IF(K621="COD",Table1[[#This Row],[Posting Date]],"")))</f>
        <v>45646</v>
      </c>
      <c r="M621" s="4">
        <f>IFERROR(IF(Table1[[#This Row],[Type]]="IN",Table1[[#This Row],[RC Date]]-Table1[[#This Row],[Posting Date]],""),"")</f>
        <v>13</v>
      </c>
      <c r="N621">
        <f>IFERROR(IF(Table1[[#This Row],[Balance Due (LC)]]&lt;&gt;0,$S$1-L621,0),"")</f>
        <v>0</v>
      </c>
      <c r="O621">
        <f>IFERROR(IF(Table1[[#This Row],[Type]]="IN",Table1[[#This Row],[C/D (LC)]],IF(Table1[[#This Row],[Type]]="CN",Table1[[#This Row],[C/D (LC)]],"")),"")</f>
        <v>1521.9</v>
      </c>
      <c r="P621" t="str">
        <f>VLOOKUP(Table1[[#This Row],[Cust '#]],ClientInfo!$A:$B,2,0)</f>
        <v>Client_07</v>
      </c>
    </row>
    <row r="622" spans="1:16">
      <c r="A622" t="s">
        <v>113</v>
      </c>
      <c r="B622" t="s">
        <v>12</v>
      </c>
      <c r="C622">
        <v>140018317</v>
      </c>
      <c r="D622" s="1">
        <v>45652</v>
      </c>
      <c r="E622">
        <v>1419</v>
      </c>
      <c r="F622">
        <v>0</v>
      </c>
      <c r="G622">
        <v>700002406</v>
      </c>
      <c r="H622" s="1">
        <v>45659</v>
      </c>
      <c r="I622">
        <f>YEAR(Table1[[#This Row],[Posting Date]])</f>
        <v>2024</v>
      </c>
      <c r="J622">
        <f>MONTH(Table1[[#This Row],[Posting Date]])</f>
        <v>12</v>
      </c>
      <c r="K622" t="str">
        <f>IF(Table1[[#This Row],[Type]]="IN",VLOOKUP(Table1[[#This Row],[Cust '#]],ClientInfo!$A:$D,4,0),"")</f>
        <v>COD</v>
      </c>
      <c r="L622" s="1">
        <f>IF(K622="NET30",Table1[[#This Row],[Posting Date]]+30,IF(K622="NET15",Table1[[#This Row],[Posting Date]]+15,IF(K622="COD",Table1[[#This Row],[Posting Date]],"")))</f>
        <v>45652</v>
      </c>
      <c r="M622" s="4">
        <f>IFERROR(IF(Table1[[#This Row],[Type]]="IN",Table1[[#This Row],[RC Date]]-Table1[[#This Row],[Posting Date]],""),"")</f>
        <v>7</v>
      </c>
      <c r="N622">
        <f>IFERROR(IF(Table1[[#This Row],[Balance Due (LC)]]&lt;&gt;0,$S$1-L622,0),"")</f>
        <v>0</v>
      </c>
      <c r="O622">
        <f>IFERROR(IF(Table1[[#This Row],[Type]]="IN",Table1[[#This Row],[C/D (LC)]],IF(Table1[[#This Row],[Type]]="CN",Table1[[#This Row],[C/D (LC)]],"")),"")</f>
        <v>1419</v>
      </c>
      <c r="P622" t="str">
        <f>VLOOKUP(Table1[[#This Row],[Cust '#]],ClientInfo!$A:$B,2,0)</f>
        <v>Client_07</v>
      </c>
    </row>
    <row r="623" spans="1:16">
      <c r="A623" t="s">
        <v>113</v>
      </c>
      <c r="B623" t="s">
        <v>12</v>
      </c>
      <c r="C623">
        <v>140018636</v>
      </c>
      <c r="D623" s="1">
        <v>45659</v>
      </c>
      <c r="E623">
        <v>2027.2</v>
      </c>
      <c r="F623">
        <v>0</v>
      </c>
      <c r="G623">
        <v>700002709</v>
      </c>
      <c r="H623" s="1">
        <v>45699</v>
      </c>
      <c r="I623">
        <f>YEAR(Table1[[#This Row],[Posting Date]])</f>
        <v>2025</v>
      </c>
      <c r="J623">
        <f>MONTH(Table1[[#This Row],[Posting Date]])</f>
        <v>1</v>
      </c>
      <c r="K623" t="str">
        <f>IF(Table1[[#This Row],[Type]]="IN",VLOOKUP(Table1[[#This Row],[Cust '#]],ClientInfo!$A:$D,4,0),"")</f>
        <v>COD</v>
      </c>
      <c r="L623" s="1">
        <f>IF(K623="NET30",Table1[[#This Row],[Posting Date]]+30,IF(K623="NET15",Table1[[#This Row],[Posting Date]]+15,IF(K623="COD",Table1[[#This Row],[Posting Date]],"")))</f>
        <v>45659</v>
      </c>
      <c r="M623" s="4">
        <f>IFERROR(IF(Table1[[#This Row],[Type]]="IN",Table1[[#This Row],[RC Date]]-Table1[[#This Row],[Posting Date]],""),"")</f>
        <v>40</v>
      </c>
      <c r="N623">
        <f>IFERROR(IF(Table1[[#This Row],[Balance Due (LC)]]&lt;&gt;0,$S$1-L623,0),"")</f>
        <v>0</v>
      </c>
      <c r="O623">
        <f>IFERROR(IF(Table1[[#This Row],[Type]]="IN",Table1[[#This Row],[C/D (LC)]],IF(Table1[[#This Row],[Type]]="CN",Table1[[#This Row],[C/D (LC)]],"")),"")</f>
        <v>2027.2</v>
      </c>
      <c r="P623" t="str">
        <f>VLOOKUP(Table1[[#This Row],[Cust '#]],ClientInfo!$A:$B,2,0)</f>
        <v>Client_07</v>
      </c>
    </row>
    <row r="624" spans="1:16">
      <c r="A624" t="s">
        <v>113</v>
      </c>
      <c r="B624" t="s">
        <v>10</v>
      </c>
      <c r="C624">
        <v>700002406</v>
      </c>
      <c r="D624" s="1">
        <v>45659</v>
      </c>
      <c r="E624">
        <v>-9478.2000000000007</v>
      </c>
      <c r="F624">
        <v>0</v>
      </c>
      <c r="G624">
        <v>700002406</v>
      </c>
      <c r="H624" s="1">
        <v>45659</v>
      </c>
      <c r="I624">
        <f>YEAR(Table1[[#This Row],[Posting Date]])</f>
        <v>2025</v>
      </c>
      <c r="J624">
        <f>MONTH(Table1[[#This Row],[Posting Date]])</f>
        <v>1</v>
      </c>
      <c r="K624" t="str">
        <f>IF(Table1[[#This Row],[Type]]="IN",VLOOKUP(Table1[[#This Row],[Cust '#]],ClientInfo!$A:$D,4,0),"")</f>
        <v/>
      </c>
      <c r="L624" s="1" t="str">
        <f>IF(K624="NET30",Table1[[#This Row],[Posting Date]]+30,IF(K624="NET15",Table1[[#This Row],[Posting Date]]+15,IF(K624="COD",Table1[[#This Row],[Posting Date]],"")))</f>
        <v/>
      </c>
      <c r="M624" s="4" t="str">
        <f>IFERROR(IF(Table1[[#This Row],[Type]]="IN",Table1[[#This Row],[RC Date]]-Table1[[#This Row],[Posting Date]],""),"")</f>
        <v/>
      </c>
      <c r="N624">
        <f>IFERROR(IF(Table1[[#This Row],[Balance Due (LC)]]&lt;&gt;0,$S$1-L624,0),"")</f>
        <v>0</v>
      </c>
      <c r="O624" t="str">
        <f>IFERROR(IF(Table1[[#This Row],[Type]]="IN",Table1[[#This Row],[C/D (LC)]],IF(Table1[[#This Row],[Type]]="CN",Table1[[#This Row],[C/D (LC)]],"")),"")</f>
        <v/>
      </c>
      <c r="P624" t="str">
        <f>VLOOKUP(Table1[[#This Row],[Cust '#]],ClientInfo!$A:$B,2,0)</f>
        <v>Client_07</v>
      </c>
    </row>
    <row r="625" spans="1:16">
      <c r="A625" t="s">
        <v>113</v>
      </c>
      <c r="B625" t="s">
        <v>12</v>
      </c>
      <c r="C625">
        <v>140018970</v>
      </c>
      <c r="D625" s="1">
        <v>45666</v>
      </c>
      <c r="E625">
        <v>854.3</v>
      </c>
      <c r="F625">
        <v>0</v>
      </c>
      <c r="G625">
        <v>700002709</v>
      </c>
      <c r="H625" s="1">
        <v>45699</v>
      </c>
      <c r="I625">
        <f>YEAR(Table1[[#This Row],[Posting Date]])</f>
        <v>2025</v>
      </c>
      <c r="J625">
        <f>MONTH(Table1[[#This Row],[Posting Date]])</f>
        <v>1</v>
      </c>
      <c r="K625" t="str">
        <f>IF(Table1[[#This Row],[Type]]="IN",VLOOKUP(Table1[[#This Row],[Cust '#]],ClientInfo!$A:$D,4,0),"")</f>
        <v>COD</v>
      </c>
      <c r="L625" s="1">
        <f>IF(K625="NET30",Table1[[#This Row],[Posting Date]]+30,IF(K625="NET15",Table1[[#This Row],[Posting Date]]+15,IF(K625="COD",Table1[[#This Row],[Posting Date]],"")))</f>
        <v>45666</v>
      </c>
      <c r="M625" s="4">
        <f>IFERROR(IF(Table1[[#This Row],[Type]]="IN",Table1[[#This Row],[RC Date]]-Table1[[#This Row],[Posting Date]],""),"")</f>
        <v>33</v>
      </c>
      <c r="N625">
        <f>IFERROR(IF(Table1[[#This Row],[Balance Due (LC)]]&lt;&gt;0,$S$1-L625,0),"")</f>
        <v>0</v>
      </c>
      <c r="O625">
        <f>IFERROR(IF(Table1[[#This Row],[Type]]="IN",Table1[[#This Row],[C/D (LC)]],IF(Table1[[#This Row],[Type]]="CN",Table1[[#This Row],[C/D (LC)]],"")),"")</f>
        <v>854.3</v>
      </c>
      <c r="P625" t="str">
        <f>VLOOKUP(Table1[[#This Row],[Cust '#]],ClientInfo!$A:$B,2,0)</f>
        <v>Client_07</v>
      </c>
    </row>
    <row r="626" spans="1:16">
      <c r="A626" t="s">
        <v>113</v>
      </c>
      <c r="B626" t="s">
        <v>12</v>
      </c>
      <c r="C626">
        <v>140019268</v>
      </c>
      <c r="D626" s="1">
        <v>45673</v>
      </c>
      <c r="E626">
        <v>1559.3</v>
      </c>
      <c r="F626">
        <v>0</v>
      </c>
      <c r="G626">
        <v>700002709</v>
      </c>
      <c r="H626" s="1">
        <v>45699</v>
      </c>
      <c r="I626">
        <f>YEAR(Table1[[#This Row],[Posting Date]])</f>
        <v>2025</v>
      </c>
      <c r="J626">
        <f>MONTH(Table1[[#This Row],[Posting Date]])</f>
        <v>1</v>
      </c>
      <c r="K626" t="str">
        <f>IF(Table1[[#This Row],[Type]]="IN",VLOOKUP(Table1[[#This Row],[Cust '#]],ClientInfo!$A:$D,4,0),"")</f>
        <v>COD</v>
      </c>
      <c r="L626" s="1">
        <f>IF(K626="NET30",Table1[[#This Row],[Posting Date]]+30,IF(K626="NET15",Table1[[#This Row],[Posting Date]]+15,IF(K626="COD",Table1[[#This Row],[Posting Date]],"")))</f>
        <v>45673</v>
      </c>
      <c r="M626" s="4">
        <f>IFERROR(IF(Table1[[#This Row],[Type]]="IN",Table1[[#This Row],[RC Date]]-Table1[[#This Row],[Posting Date]],""),"")</f>
        <v>26</v>
      </c>
      <c r="N626">
        <f>IFERROR(IF(Table1[[#This Row],[Balance Due (LC)]]&lt;&gt;0,$S$1-L626,0),"")</f>
        <v>0</v>
      </c>
      <c r="O626">
        <f>IFERROR(IF(Table1[[#This Row],[Type]]="IN",Table1[[#This Row],[C/D (LC)]],IF(Table1[[#This Row],[Type]]="CN",Table1[[#This Row],[C/D (LC)]],"")),"")</f>
        <v>1559.3</v>
      </c>
      <c r="P626" t="str">
        <f>VLOOKUP(Table1[[#This Row],[Cust '#]],ClientInfo!$A:$B,2,0)</f>
        <v>Client_07</v>
      </c>
    </row>
    <row r="627" spans="1:16">
      <c r="A627" t="s">
        <v>113</v>
      </c>
      <c r="B627" t="s">
        <v>12</v>
      </c>
      <c r="C627">
        <v>140019592</v>
      </c>
      <c r="D627" s="1">
        <v>45680</v>
      </c>
      <c r="E627">
        <v>2094.1999999999998</v>
      </c>
      <c r="F627">
        <v>0</v>
      </c>
      <c r="G627">
        <v>700002709</v>
      </c>
      <c r="H627" s="1">
        <v>45699</v>
      </c>
      <c r="I627">
        <f>YEAR(Table1[[#This Row],[Posting Date]])</f>
        <v>2025</v>
      </c>
      <c r="J627">
        <f>MONTH(Table1[[#This Row],[Posting Date]])</f>
        <v>1</v>
      </c>
      <c r="K627" t="str">
        <f>IF(Table1[[#This Row],[Type]]="IN",VLOOKUP(Table1[[#This Row],[Cust '#]],ClientInfo!$A:$D,4,0),"")</f>
        <v>COD</v>
      </c>
      <c r="L627" s="1">
        <f>IF(K627="NET30",Table1[[#This Row],[Posting Date]]+30,IF(K627="NET15",Table1[[#This Row],[Posting Date]]+15,IF(K627="COD",Table1[[#This Row],[Posting Date]],"")))</f>
        <v>45680</v>
      </c>
      <c r="M627" s="4">
        <f>IFERROR(IF(Table1[[#This Row],[Type]]="IN",Table1[[#This Row],[RC Date]]-Table1[[#This Row],[Posting Date]],""),"")</f>
        <v>19</v>
      </c>
      <c r="N627">
        <f>IFERROR(IF(Table1[[#This Row],[Balance Due (LC)]]&lt;&gt;0,$S$1-L627,0),"")</f>
        <v>0</v>
      </c>
      <c r="O627">
        <f>IFERROR(IF(Table1[[#This Row],[Type]]="IN",Table1[[#This Row],[C/D (LC)]],IF(Table1[[#This Row],[Type]]="CN",Table1[[#This Row],[C/D (LC)]],"")),"")</f>
        <v>2094.1999999999998</v>
      </c>
      <c r="P627" t="str">
        <f>VLOOKUP(Table1[[#This Row],[Cust '#]],ClientInfo!$A:$B,2,0)</f>
        <v>Client_07</v>
      </c>
    </row>
    <row r="628" spans="1:16">
      <c r="A628" t="s">
        <v>113</v>
      </c>
      <c r="B628" t="s">
        <v>12</v>
      </c>
      <c r="C628">
        <v>140019910</v>
      </c>
      <c r="D628" s="1">
        <v>45687</v>
      </c>
      <c r="E628">
        <v>1316.4</v>
      </c>
      <c r="F628">
        <v>0</v>
      </c>
      <c r="G628">
        <v>700002709</v>
      </c>
      <c r="H628" s="1">
        <v>45699</v>
      </c>
      <c r="I628">
        <f>YEAR(Table1[[#This Row],[Posting Date]])</f>
        <v>2025</v>
      </c>
      <c r="J628">
        <f>MONTH(Table1[[#This Row],[Posting Date]])</f>
        <v>1</v>
      </c>
      <c r="K628" t="str">
        <f>IF(Table1[[#This Row],[Type]]="IN",VLOOKUP(Table1[[#This Row],[Cust '#]],ClientInfo!$A:$D,4,0),"")</f>
        <v>COD</v>
      </c>
      <c r="L628" s="1">
        <f>IF(K628="NET30",Table1[[#This Row],[Posting Date]]+30,IF(K628="NET15",Table1[[#This Row],[Posting Date]]+15,IF(K628="COD",Table1[[#This Row],[Posting Date]],"")))</f>
        <v>45687</v>
      </c>
      <c r="M628" s="4">
        <f>IFERROR(IF(Table1[[#This Row],[Type]]="IN",Table1[[#This Row],[RC Date]]-Table1[[#This Row],[Posting Date]],""),"")</f>
        <v>12</v>
      </c>
      <c r="N628">
        <f>IFERROR(IF(Table1[[#This Row],[Balance Due (LC)]]&lt;&gt;0,$S$1-L628,0),"")</f>
        <v>0</v>
      </c>
      <c r="O628">
        <f>IFERROR(IF(Table1[[#This Row],[Type]]="IN",Table1[[#This Row],[C/D (LC)]],IF(Table1[[#This Row],[Type]]="CN",Table1[[#This Row],[C/D (LC)]],"")),"")</f>
        <v>1316.4</v>
      </c>
      <c r="P628" t="str">
        <f>VLOOKUP(Table1[[#This Row],[Cust '#]],ClientInfo!$A:$B,2,0)</f>
        <v>Client_07</v>
      </c>
    </row>
    <row r="629" spans="1:16">
      <c r="A629" t="s">
        <v>113</v>
      </c>
      <c r="B629" t="s">
        <v>13</v>
      </c>
      <c r="C629">
        <v>150000877</v>
      </c>
      <c r="D629" s="1">
        <v>45692</v>
      </c>
      <c r="E629">
        <v>-155.80000000000001</v>
      </c>
      <c r="F629">
        <v>0</v>
      </c>
      <c r="G629">
        <v>700002709</v>
      </c>
      <c r="H629" s="1">
        <v>45699</v>
      </c>
      <c r="I629">
        <f>YEAR(Table1[[#This Row],[Posting Date]])</f>
        <v>2025</v>
      </c>
      <c r="J629">
        <f>MONTH(Table1[[#This Row],[Posting Date]])</f>
        <v>2</v>
      </c>
      <c r="K629" t="str">
        <f>IF(Table1[[#This Row],[Type]]="IN",VLOOKUP(Table1[[#This Row],[Cust '#]],ClientInfo!$A:$D,4,0),"")</f>
        <v/>
      </c>
      <c r="L629" s="1" t="str">
        <f>IF(K629="NET30",Table1[[#This Row],[Posting Date]]+30,IF(K629="NET15",Table1[[#This Row],[Posting Date]]+15,IF(K629="COD",Table1[[#This Row],[Posting Date]],"")))</f>
        <v/>
      </c>
      <c r="M629" s="4" t="str">
        <f>IFERROR(IF(Table1[[#This Row],[Type]]="IN",Table1[[#This Row],[RC Date]]-Table1[[#This Row],[Posting Date]],""),"")</f>
        <v/>
      </c>
      <c r="N629">
        <f>IFERROR(IF(Table1[[#This Row],[Balance Due (LC)]]&lt;&gt;0,$S$1-L629,0),"")</f>
        <v>0</v>
      </c>
      <c r="O629">
        <f>IFERROR(IF(Table1[[#This Row],[Type]]="IN",Table1[[#This Row],[C/D (LC)]],IF(Table1[[#This Row],[Type]]="CN",Table1[[#This Row],[C/D (LC)]],"")),"")</f>
        <v>-155.80000000000001</v>
      </c>
      <c r="P629" t="str">
        <f>VLOOKUP(Table1[[#This Row],[Cust '#]],ClientInfo!$A:$B,2,0)</f>
        <v>Client_07</v>
      </c>
    </row>
    <row r="630" spans="1:16">
      <c r="A630" t="s">
        <v>113</v>
      </c>
      <c r="B630" t="s">
        <v>12</v>
      </c>
      <c r="C630">
        <v>140020254</v>
      </c>
      <c r="D630" s="1">
        <v>45694</v>
      </c>
      <c r="E630">
        <v>1798.4</v>
      </c>
      <c r="F630">
        <v>0</v>
      </c>
      <c r="G630">
        <v>700002709</v>
      </c>
      <c r="H630" s="1">
        <v>45699</v>
      </c>
      <c r="I630">
        <f>YEAR(Table1[[#This Row],[Posting Date]])</f>
        <v>2025</v>
      </c>
      <c r="J630">
        <f>MONTH(Table1[[#This Row],[Posting Date]])</f>
        <v>2</v>
      </c>
      <c r="K630" t="str">
        <f>IF(Table1[[#This Row],[Type]]="IN",VLOOKUP(Table1[[#This Row],[Cust '#]],ClientInfo!$A:$D,4,0),"")</f>
        <v>COD</v>
      </c>
      <c r="L630" s="1">
        <f>IF(K630="NET30",Table1[[#This Row],[Posting Date]]+30,IF(K630="NET15",Table1[[#This Row],[Posting Date]]+15,IF(K630="COD",Table1[[#This Row],[Posting Date]],"")))</f>
        <v>45694</v>
      </c>
      <c r="M630" s="4">
        <f>IFERROR(IF(Table1[[#This Row],[Type]]="IN",Table1[[#This Row],[RC Date]]-Table1[[#This Row],[Posting Date]],""),"")</f>
        <v>5</v>
      </c>
      <c r="N630">
        <f>IFERROR(IF(Table1[[#This Row],[Balance Due (LC)]]&lt;&gt;0,$S$1-L630,0),"")</f>
        <v>0</v>
      </c>
      <c r="O630">
        <f>IFERROR(IF(Table1[[#This Row],[Type]]="IN",Table1[[#This Row],[C/D (LC)]],IF(Table1[[#This Row],[Type]]="CN",Table1[[#This Row],[C/D (LC)]],"")),"")</f>
        <v>1798.4</v>
      </c>
      <c r="P630" t="str">
        <f>VLOOKUP(Table1[[#This Row],[Cust '#]],ClientInfo!$A:$B,2,0)</f>
        <v>Client_07</v>
      </c>
    </row>
    <row r="631" spans="1:16">
      <c r="A631" t="s">
        <v>113</v>
      </c>
      <c r="B631" t="s">
        <v>10</v>
      </c>
      <c r="C631">
        <v>700002709</v>
      </c>
      <c r="D631" s="1">
        <v>45699</v>
      </c>
      <c r="E631">
        <v>-9494</v>
      </c>
      <c r="F631">
        <v>0</v>
      </c>
      <c r="G631">
        <v>700002709</v>
      </c>
      <c r="H631" s="1">
        <v>45699</v>
      </c>
      <c r="I631">
        <f>YEAR(Table1[[#This Row],[Posting Date]])</f>
        <v>2025</v>
      </c>
      <c r="J631">
        <f>MONTH(Table1[[#This Row],[Posting Date]])</f>
        <v>2</v>
      </c>
      <c r="K631" t="str">
        <f>IF(Table1[[#This Row],[Type]]="IN",VLOOKUP(Table1[[#This Row],[Cust '#]],ClientInfo!$A:$D,4,0),"")</f>
        <v/>
      </c>
      <c r="L631" s="1" t="str">
        <f>IF(K631="NET30",Table1[[#This Row],[Posting Date]]+30,IF(K631="NET15",Table1[[#This Row],[Posting Date]]+15,IF(K631="COD",Table1[[#This Row],[Posting Date]],"")))</f>
        <v/>
      </c>
      <c r="M631" s="4" t="str">
        <f>IFERROR(IF(Table1[[#This Row],[Type]]="IN",Table1[[#This Row],[RC Date]]-Table1[[#This Row],[Posting Date]],""),"")</f>
        <v/>
      </c>
      <c r="N631">
        <f>IFERROR(IF(Table1[[#This Row],[Balance Due (LC)]]&lt;&gt;0,$S$1-L631,0),"")</f>
        <v>0</v>
      </c>
      <c r="O631" t="str">
        <f>IFERROR(IF(Table1[[#This Row],[Type]]="IN",Table1[[#This Row],[C/D (LC)]],IF(Table1[[#This Row],[Type]]="CN",Table1[[#This Row],[C/D (LC)]],"")),"")</f>
        <v/>
      </c>
      <c r="P631" t="str">
        <f>VLOOKUP(Table1[[#This Row],[Cust '#]],ClientInfo!$A:$B,2,0)</f>
        <v>Client_07</v>
      </c>
    </row>
    <row r="632" spans="1:16">
      <c r="A632" t="s">
        <v>113</v>
      </c>
      <c r="B632" t="s">
        <v>12</v>
      </c>
      <c r="C632">
        <v>140020568</v>
      </c>
      <c r="D632" s="1">
        <v>45701</v>
      </c>
      <c r="E632">
        <v>1570</v>
      </c>
      <c r="F632">
        <v>0</v>
      </c>
      <c r="G632">
        <v>700002990</v>
      </c>
      <c r="H632" s="1">
        <v>45735</v>
      </c>
      <c r="I632">
        <f>YEAR(Table1[[#This Row],[Posting Date]])</f>
        <v>2025</v>
      </c>
      <c r="J632">
        <f>MONTH(Table1[[#This Row],[Posting Date]])</f>
        <v>2</v>
      </c>
      <c r="K632" t="str">
        <f>IF(Table1[[#This Row],[Type]]="IN",VLOOKUP(Table1[[#This Row],[Cust '#]],ClientInfo!$A:$D,4,0),"")</f>
        <v>COD</v>
      </c>
      <c r="L632" s="1">
        <f>IF(K632="NET30",Table1[[#This Row],[Posting Date]]+30,IF(K632="NET15",Table1[[#This Row],[Posting Date]]+15,IF(K632="COD",Table1[[#This Row],[Posting Date]],"")))</f>
        <v>45701</v>
      </c>
      <c r="M632" s="4">
        <f>IFERROR(IF(Table1[[#This Row],[Type]]="IN",Table1[[#This Row],[RC Date]]-Table1[[#This Row],[Posting Date]],""),"")</f>
        <v>34</v>
      </c>
      <c r="N632">
        <f>IFERROR(IF(Table1[[#This Row],[Balance Due (LC)]]&lt;&gt;0,$S$1-L632,0),"")</f>
        <v>0</v>
      </c>
      <c r="O632">
        <f>IFERROR(IF(Table1[[#This Row],[Type]]="IN",Table1[[#This Row],[C/D (LC)]],IF(Table1[[#This Row],[Type]]="CN",Table1[[#This Row],[C/D (LC)]],"")),"")</f>
        <v>1570</v>
      </c>
      <c r="P632" t="str">
        <f>VLOOKUP(Table1[[#This Row],[Cust '#]],ClientInfo!$A:$B,2,0)</f>
        <v>Client_07</v>
      </c>
    </row>
    <row r="633" spans="1:16">
      <c r="A633" t="s">
        <v>113</v>
      </c>
      <c r="B633" t="s">
        <v>12</v>
      </c>
      <c r="C633">
        <v>140020902</v>
      </c>
      <c r="D633" s="1">
        <v>45708</v>
      </c>
      <c r="E633">
        <v>1238.6500000000001</v>
      </c>
      <c r="F633">
        <v>0</v>
      </c>
      <c r="G633">
        <v>700002990</v>
      </c>
      <c r="H633" s="1">
        <v>45735</v>
      </c>
      <c r="I633">
        <f>YEAR(Table1[[#This Row],[Posting Date]])</f>
        <v>2025</v>
      </c>
      <c r="J633">
        <f>MONTH(Table1[[#This Row],[Posting Date]])</f>
        <v>2</v>
      </c>
      <c r="K633" t="str">
        <f>IF(Table1[[#This Row],[Type]]="IN",VLOOKUP(Table1[[#This Row],[Cust '#]],ClientInfo!$A:$D,4,0),"")</f>
        <v>COD</v>
      </c>
      <c r="L633" s="1">
        <f>IF(K633="NET30",Table1[[#This Row],[Posting Date]]+30,IF(K633="NET15",Table1[[#This Row],[Posting Date]]+15,IF(K633="COD",Table1[[#This Row],[Posting Date]],"")))</f>
        <v>45708</v>
      </c>
      <c r="M633" s="4">
        <f>IFERROR(IF(Table1[[#This Row],[Type]]="IN",Table1[[#This Row],[RC Date]]-Table1[[#This Row],[Posting Date]],""),"")</f>
        <v>27</v>
      </c>
      <c r="N633">
        <f>IFERROR(IF(Table1[[#This Row],[Balance Due (LC)]]&lt;&gt;0,$S$1-L633,0),"")</f>
        <v>0</v>
      </c>
      <c r="O633">
        <f>IFERROR(IF(Table1[[#This Row],[Type]]="IN",Table1[[#This Row],[C/D (LC)]],IF(Table1[[#This Row],[Type]]="CN",Table1[[#This Row],[C/D (LC)]],"")),"")</f>
        <v>1238.6500000000001</v>
      </c>
      <c r="P633" t="str">
        <f>VLOOKUP(Table1[[#This Row],[Cust '#]],ClientInfo!$A:$B,2,0)</f>
        <v>Client_07</v>
      </c>
    </row>
    <row r="634" spans="1:16">
      <c r="A634" t="s">
        <v>113</v>
      </c>
      <c r="B634" t="s">
        <v>13</v>
      </c>
      <c r="C634">
        <v>150000937</v>
      </c>
      <c r="D634" s="1">
        <v>45713</v>
      </c>
      <c r="E634">
        <v>-264.60000000000002</v>
      </c>
      <c r="F634">
        <v>0</v>
      </c>
      <c r="G634">
        <v>700002990</v>
      </c>
      <c r="H634" s="1">
        <v>45735</v>
      </c>
      <c r="I634">
        <f>YEAR(Table1[[#This Row],[Posting Date]])</f>
        <v>2025</v>
      </c>
      <c r="J634">
        <f>MONTH(Table1[[#This Row],[Posting Date]])</f>
        <v>2</v>
      </c>
      <c r="K634" t="str">
        <f>IF(Table1[[#This Row],[Type]]="IN",VLOOKUP(Table1[[#This Row],[Cust '#]],ClientInfo!$A:$D,4,0),"")</f>
        <v/>
      </c>
      <c r="L634" s="1" t="str">
        <f>IF(K634="NET30",Table1[[#This Row],[Posting Date]]+30,IF(K634="NET15",Table1[[#This Row],[Posting Date]]+15,IF(K634="COD",Table1[[#This Row],[Posting Date]],"")))</f>
        <v/>
      </c>
      <c r="M634" s="4" t="str">
        <f>IFERROR(IF(Table1[[#This Row],[Type]]="IN",Table1[[#This Row],[RC Date]]-Table1[[#This Row],[Posting Date]],""),"")</f>
        <v/>
      </c>
      <c r="N634">
        <f>IFERROR(IF(Table1[[#This Row],[Balance Due (LC)]]&lt;&gt;0,$S$1-L634,0),"")</f>
        <v>0</v>
      </c>
      <c r="O634">
        <f>IFERROR(IF(Table1[[#This Row],[Type]]="IN",Table1[[#This Row],[C/D (LC)]],IF(Table1[[#This Row],[Type]]="CN",Table1[[#This Row],[C/D (LC)]],"")),"")</f>
        <v>-264.60000000000002</v>
      </c>
      <c r="P634" t="str">
        <f>VLOOKUP(Table1[[#This Row],[Cust '#]],ClientInfo!$A:$B,2,0)</f>
        <v>Client_07</v>
      </c>
    </row>
    <row r="635" spans="1:16">
      <c r="A635" t="s">
        <v>113</v>
      </c>
      <c r="B635" t="s">
        <v>12</v>
      </c>
      <c r="C635">
        <v>140021201</v>
      </c>
      <c r="D635" s="1">
        <v>45715</v>
      </c>
      <c r="E635">
        <v>2642.45</v>
      </c>
      <c r="F635">
        <v>0</v>
      </c>
      <c r="G635">
        <v>700002990</v>
      </c>
      <c r="H635" s="1">
        <v>45735</v>
      </c>
      <c r="I635">
        <f>YEAR(Table1[[#This Row],[Posting Date]])</f>
        <v>2025</v>
      </c>
      <c r="J635">
        <f>MONTH(Table1[[#This Row],[Posting Date]])</f>
        <v>2</v>
      </c>
      <c r="K635" t="str">
        <f>IF(Table1[[#This Row],[Type]]="IN",VLOOKUP(Table1[[#This Row],[Cust '#]],ClientInfo!$A:$D,4,0),"")</f>
        <v>COD</v>
      </c>
      <c r="L635" s="1">
        <f>IF(K635="NET30",Table1[[#This Row],[Posting Date]]+30,IF(K635="NET15",Table1[[#This Row],[Posting Date]]+15,IF(K635="COD",Table1[[#This Row],[Posting Date]],"")))</f>
        <v>45715</v>
      </c>
      <c r="M635" s="4">
        <f>IFERROR(IF(Table1[[#This Row],[Type]]="IN",Table1[[#This Row],[RC Date]]-Table1[[#This Row],[Posting Date]],""),"")</f>
        <v>20</v>
      </c>
      <c r="N635">
        <f>IFERROR(IF(Table1[[#This Row],[Balance Due (LC)]]&lt;&gt;0,$S$1-L635,0),"")</f>
        <v>0</v>
      </c>
      <c r="O635">
        <f>IFERROR(IF(Table1[[#This Row],[Type]]="IN",Table1[[#This Row],[C/D (LC)]],IF(Table1[[#This Row],[Type]]="CN",Table1[[#This Row],[C/D (LC)]],"")),"")</f>
        <v>2642.45</v>
      </c>
      <c r="P635" t="str">
        <f>VLOOKUP(Table1[[#This Row],[Cust '#]],ClientInfo!$A:$B,2,0)</f>
        <v>Client_07</v>
      </c>
    </row>
    <row r="636" spans="1:16">
      <c r="A636" t="s">
        <v>113</v>
      </c>
      <c r="B636" t="s">
        <v>12</v>
      </c>
      <c r="C636">
        <v>140021498</v>
      </c>
      <c r="D636" s="1">
        <v>45722</v>
      </c>
      <c r="E636">
        <v>1663.5</v>
      </c>
      <c r="F636">
        <v>0</v>
      </c>
      <c r="G636">
        <v>700002990</v>
      </c>
      <c r="H636" s="1">
        <v>45735</v>
      </c>
      <c r="I636">
        <f>YEAR(Table1[[#This Row],[Posting Date]])</f>
        <v>2025</v>
      </c>
      <c r="J636">
        <f>MONTH(Table1[[#This Row],[Posting Date]])</f>
        <v>3</v>
      </c>
      <c r="K636" t="str">
        <f>IF(Table1[[#This Row],[Type]]="IN",VLOOKUP(Table1[[#This Row],[Cust '#]],ClientInfo!$A:$D,4,0),"")</f>
        <v>COD</v>
      </c>
      <c r="L636" s="1">
        <f>IF(K636="NET30",Table1[[#This Row],[Posting Date]]+30,IF(K636="NET15",Table1[[#This Row],[Posting Date]]+15,IF(K636="COD",Table1[[#This Row],[Posting Date]],"")))</f>
        <v>45722</v>
      </c>
      <c r="M636" s="4">
        <f>IFERROR(IF(Table1[[#This Row],[Type]]="IN",Table1[[#This Row],[RC Date]]-Table1[[#This Row],[Posting Date]],""),"")</f>
        <v>13</v>
      </c>
      <c r="N636">
        <f>IFERROR(IF(Table1[[#This Row],[Balance Due (LC)]]&lt;&gt;0,$S$1-L636,0),"")</f>
        <v>0</v>
      </c>
      <c r="O636">
        <f>IFERROR(IF(Table1[[#This Row],[Type]]="IN",Table1[[#This Row],[C/D (LC)]],IF(Table1[[#This Row],[Type]]="CN",Table1[[#This Row],[C/D (LC)]],"")),"")</f>
        <v>1663.5</v>
      </c>
      <c r="P636" t="str">
        <f>VLOOKUP(Table1[[#This Row],[Cust '#]],ClientInfo!$A:$B,2,0)</f>
        <v>Client_07</v>
      </c>
    </row>
    <row r="637" spans="1:16">
      <c r="A637" t="s">
        <v>113</v>
      </c>
      <c r="B637" t="s">
        <v>12</v>
      </c>
      <c r="C637">
        <v>140021819</v>
      </c>
      <c r="D637" s="1">
        <v>45729</v>
      </c>
      <c r="E637">
        <v>1525.6</v>
      </c>
      <c r="F637">
        <v>0</v>
      </c>
      <c r="G637">
        <v>700002990</v>
      </c>
      <c r="H637" s="1">
        <v>45735</v>
      </c>
      <c r="I637">
        <f>YEAR(Table1[[#This Row],[Posting Date]])</f>
        <v>2025</v>
      </c>
      <c r="J637">
        <f>MONTH(Table1[[#This Row],[Posting Date]])</f>
        <v>3</v>
      </c>
      <c r="K637" t="str">
        <f>IF(Table1[[#This Row],[Type]]="IN",VLOOKUP(Table1[[#This Row],[Cust '#]],ClientInfo!$A:$D,4,0),"")</f>
        <v>COD</v>
      </c>
      <c r="L637" s="1">
        <f>IF(K637="NET30",Table1[[#This Row],[Posting Date]]+30,IF(K637="NET15",Table1[[#This Row],[Posting Date]]+15,IF(K637="COD",Table1[[#This Row],[Posting Date]],"")))</f>
        <v>45729</v>
      </c>
      <c r="M637" s="4">
        <f>IFERROR(IF(Table1[[#This Row],[Type]]="IN",Table1[[#This Row],[RC Date]]-Table1[[#This Row],[Posting Date]],""),"")</f>
        <v>6</v>
      </c>
      <c r="N637">
        <f>IFERROR(IF(Table1[[#This Row],[Balance Due (LC)]]&lt;&gt;0,$S$1-L637,0),"")</f>
        <v>0</v>
      </c>
      <c r="O637">
        <f>IFERROR(IF(Table1[[#This Row],[Type]]="IN",Table1[[#This Row],[C/D (LC)]],IF(Table1[[#This Row],[Type]]="CN",Table1[[#This Row],[C/D (LC)]],"")),"")</f>
        <v>1525.6</v>
      </c>
      <c r="P637" t="str">
        <f>VLOOKUP(Table1[[#This Row],[Cust '#]],ClientInfo!$A:$B,2,0)</f>
        <v>Client_07</v>
      </c>
    </row>
    <row r="638" spans="1:16">
      <c r="A638" t="s">
        <v>113</v>
      </c>
      <c r="B638" t="s">
        <v>13</v>
      </c>
      <c r="C638">
        <v>150000995</v>
      </c>
      <c r="D638" s="1">
        <v>45733</v>
      </c>
      <c r="E638">
        <v>-28.8</v>
      </c>
      <c r="F638">
        <v>0</v>
      </c>
      <c r="G638">
        <v>700002990</v>
      </c>
      <c r="H638" s="1">
        <v>45735</v>
      </c>
      <c r="I638">
        <f>YEAR(Table1[[#This Row],[Posting Date]])</f>
        <v>2025</v>
      </c>
      <c r="J638">
        <f>MONTH(Table1[[#This Row],[Posting Date]])</f>
        <v>3</v>
      </c>
      <c r="K638" t="str">
        <f>IF(Table1[[#This Row],[Type]]="IN",VLOOKUP(Table1[[#This Row],[Cust '#]],ClientInfo!$A:$D,4,0),"")</f>
        <v/>
      </c>
      <c r="L638" s="1" t="str">
        <f>IF(K638="NET30",Table1[[#This Row],[Posting Date]]+30,IF(K638="NET15",Table1[[#This Row],[Posting Date]]+15,IF(K638="COD",Table1[[#This Row],[Posting Date]],"")))</f>
        <v/>
      </c>
      <c r="M638" s="4" t="str">
        <f>IFERROR(IF(Table1[[#This Row],[Type]]="IN",Table1[[#This Row],[RC Date]]-Table1[[#This Row],[Posting Date]],""),"")</f>
        <v/>
      </c>
      <c r="N638">
        <f>IFERROR(IF(Table1[[#This Row],[Balance Due (LC)]]&lt;&gt;0,$S$1-L638,0),"")</f>
        <v>0</v>
      </c>
      <c r="O638">
        <f>IFERROR(IF(Table1[[#This Row],[Type]]="IN",Table1[[#This Row],[C/D (LC)]],IF(Table1[[#This Row],[Type]]="CN",Table1[[#This Row],[C/D (LC)]],"")),"")</f>
        <v>-28.8</v>
      </c>
      <c r="P638" t="str">
        <f>VLOOKUP(Table1[[#This Row],[Cust '#]],ClientInfo!$A:$B,2,0)</f>
        <v>Client_07</v>
      </c>
    </row>
    <row r="639" spans="1:16">
      <c r="A639" t="s">
        <v>113</v>
      </c>
      <c r="B639" t="s">
        <v>10</v>
      </c>
      <c r="C639">
        <v>700002990</v>
      </c>
      <c r="D639" s="1">
        <v>45735</v>
      </c>
      <c r="E639">
        <v>-8346.7999999999993</v>
      </c>
      <c r="F639">
        <v>0</v>
      </c>
      <c r="G639">
        <v>700002990</v>
      </c>
      <c r="H639" s="1">
        <v>45735</v>
      </c>
      <c r="I639">
        <f>YEAR(Table1[[#This Row],[Posting Date]])</f>
        <v>2025</v>
      </c>
      <c r="J639">
        <f>MONTH(Table1[[#This Row],[Posting Date]])</f>
        <v>3</v>
      </c>
      <c r="K639" t="str">
        <f>IF(Table1[[#This Row],[Type]]="IN",VLOOKUP(Table1[[#This Row],[Cust '#]],ClientInfo!$A:$D,4,0),"")</f>
        <v/>
      </c>
      <c r="L639" s="1" t="str">
        <f>IF(K639="NET30",Table1[[#This Row],[Posting Date]]+30,IF(K639="NET15",Table1[[#This Row],[Posting Date]]+15,IF(K639="COD",Table1[[#This Row],[Posting Date]],"")))</f>
        <v/>
      </c>
      <c r="M639" s="4" t="str">
        <f>IFERROR(IF(Table1[[#This Row],[Type]]="IN",Table1[[#This Row],[RC Date]]-Table1[[#This Row],[Posting Date]],""),"")</f>
        <v/>
      </c>
      <c r="N639">
        <f>IFERROR(IF(Table1[[#This Row],[Balance Due (LC)]]&lt;&gt;0,$S$1-L639,0),"")</f>
        <v>0</v>
      </c>
      <c r="O639" t="str">
        <f>IFERROR(IF(Table1[[#This Row],[Type]]="IN",Table1[[#This Row],[C/D (LC)]],IF(Table1[[#This Row],[Type]]="CN",Table1[[#This Row],[C/D (LC)]],"")),"")</f>
        <v/>
      </c>
      <c r="P639" t="str">
        <f>VLOOKUP(Table1[[#This Row],[Cust '#]],ClientInfo!$A:$B,2,0)</f>
        <v>Client_07</v>
      </c>
    </row>
    <row r="640" spans="1:16">
      <c r="A640" t="s">
        <v>113</v>
      </c>
      <c r="B640" t="s">
        <v>12</v>
      </c>
      <c r="C640">
        <v>140022111</v>
      </c>
      <c r="D640" s="1">
        <v>45736</v>
      </c>
      <c r="E640">
        <v>3708</v>
      </c>
      <c r="F640">
        <v>0</v>
      </c>
      <c r="G640">
        <v>700003229</v>
      </c>
      <c r="H640" s="1">
        <v>45758</v>
      </c>
      <c r="I640">
        <f>YEAR(Table1[[#This Row],[Posting Date]])</f>
        <v>2025</v>
      </c>
      <c r="J640">
        <f>MONTH(Table1[[#This Row],[Posting Date]])</f>
        <v>3</v>
      </c>
      <c r="K640" t="str">
        <f>IF(Table1[[#This Row],[Type]]="IN",VLOOKUP(Table1[[#This Row],[Cust '#]],ClientInfo!$A:$D,4,0),"")</f>
        <v>COD</v>
      </c>
      <c r="L640" s="1">
        <f>IF(K640="NET30",Table1[[#This Row],[Posting Date]]+30,IF(K640="NET15",Table1[[#This Row],[Posting Date]]+15,IF(K640="COD",Table1[[#This Row],[Posting Date]],"")))</f>
        <v>45736</v>
      </c>
      <c r="M640" s="4">
        <f>IFERROR(IF(Table1[[#This Row],[Type]]="IN",Table1[[#This Row],[RC Date]]-Table1[[#This Row],[Posting Date]],""),"")</f>
        <v>22</v>
      </c>
      <c r="N640">
        <f>IFERROR(IF(Table1[[#This Row],[Balance Due (LC)]]&lt;&gt;0,$S$1-L640,0),"")</f>
        <v>0</v>
      </c>
      <c r="O640">
        <f>IFERROR(IF(Table1[[#This Row],[Type]]="IN",Table1[[#This Row],[C/D (LC)]],IF(Table1[[#This Row],[Type]]="CN",Table1[[#This Row],[C/D (LC)]],"")),"")</f>
        <v>3708</v>
      </c>
      <c r="P640" t="str">
        <f>VLOOKUP(Table1[[#This Row],[Cust '#]],ClientInfo!$A:$B,2,0)</f>
        <v>Client_07</v>
      </c>
    </row>
    <row r="641" spans="1:16">
      <c r="A641" t="s">
        <v>113</v>
      </c>
      <c r="B641" t="s">
        <v>12</v>
      </c>
      <c r="C641">
        <v>140022421</v>
      </c>
      <c r="D641" s="1">
        <v>45743</v>
      </c>
      <c r="E641">
        <v>2314.1999999999998</v>
      </c>
      <c r="F641">
        <v>0</v>
      </c>
      <c r="G641">
        <v>700003229</v>
      </c>
      <c r="H641" s="1">
        <v>45758</v>
      </c>
      <c r="I641">
        <f>YEAR(Table1[[#This Row],[Posting Date]])</f>
        <v>2025</v>
      </c>
      <c r="J641">
        <f>MONTH(Table1[[#This Row],[Posting Date]])</f>
        <v>3</v>
      </c>
      <c r="K641" t="str">
        <f>IF(Table1[[#This Row],[Type]]="IN",VLOOKUP(Table1[[#This Row],[Cust '#]],ClientInfo!$A:$D,4,0),"")</f>
        <v>COD</v>
      </c>
      <c r="L641" s="1">
        <f>IF(K641="NET30",Table1[[#This Row],[Posting Date]]+30,IF(K641="NET15",Table1[[#This Row],[Posting Date]]+15,IF(K641="COD",Table1[[#This Row],[Posting Date]],"")))</f>
        <v>45743</v>
      </c>
      <c r="M641" s="4">
        <f>IFERROR(IF(Table1[[#This Row],[Type]]="IN",Table1[[#This Row],[RC Date]]-Table1[[#This Row],[Posting Date]],""),"")</f>
        <v>15</v>
      </c>
      <c r="N641">
        <f>IFERROR(IF(Table1[[#This Row],[Balance Due (LC)]]&lt;&gt;0,$S$1-L641,0),"")</f>
        <v>0</v>
      </c>
      <c r="O641">
        <f>IFERROR(IF(Table1[[#This Row],[Type]]="IN",Table1[[#This Row],[C/D (LC)]],IF(Table1[[#This Row],[Type]]="CN",Table1[[#This Row],[C/D (LC)]],"")),"")</f>
        <v>2314.1999999999998</v>
      </c>
      <c r="P641" t="str">
        <f>VLOOKUP(Table1[[#This Row],[Cust '#]],ClientInfo!$A:$B,2,0)</f>
        <v>Client_07</v>
      </c>
    </row>
    <row r="642" spans="1:16">
      <c r="A642" t="s">
        <v>113</v>
      </c>
      <c r="B642" t="s">
        <v>12</v>
      </c>
      <c r="C642">
        <v>140022754</v>
      </c>
      <c r="D642" s="1">
        <v>45750</v>
      </c>
      <c r="E642">
        <v>919.1</v>
      </c>
      <c r="F642">
        <v>0</v>
      </c>
      <c r="G642">
        <v>700003229</v>
      </c>
      <c r="H642" s="1">
        <v>45758</v>
      </c>
      <c r="I642">
        <f>YEAR(Table1[[#This Row],[Posting Date]])</f>
        <v>2025</v>
      </c>
      <c r="J642">
        <f>MONTH(Table1[[#This Row],[Posting Date]])</f>
        <v>4</v>
      </c>
      <c r="K642" t="str">
        <f>IF(Table1[[#This Row],[Type]]="IN",VLOOKUP(Table1[[#This Row],[Cust '#]],ClientInfo!$A:$D,4,0),"")</f>
        <v>COD</v>
      </c>
      <c r="L642" s="1">
        <f>IF(K642="NET30",Table1[[#This Row],[Posting Date]]+30,IF(K642="NET15",Table1[[#This Row],[Posting Date]]+15,IF(K642="COD",Table1[[#This Row],[Posting Date]],"")))</f>
        <v>45750</v>
      </c>
      <c r="M642" s="4">
        <f>IFERROR(IF(Table1[[#This Row],[Type]]="IN",Table1[[#This Row],[RC Date]]-Table1[[#This Row],[Posting Date]],""),"")</f>
        <v>8</v>
      </c>
      <c r="N642">
        <f>IFERROR(IF(Table1[[#This Row],[Balance Due (LC)]]&lt;&gt;0,$S$1-L642,0),"")</f>
        <v>0</v>
      </c>
      <c r="O642">
        <f>IFERROR(IF(Table1[[#This Row],[Type]]="IN",Table1[[#This Row],[C/D (LC)]],IF(Table1[[#This Row],[Type]]="CN",Table1[[#This Row],[C/D (LC)]],"")),"")</f>
        <v>919.1</v>
      </c>
      <c r="P642" t="str">
        <f>VLOOKUP(Table1[[#This Row],[Cust '#]],ClientInfo!$A:$B,2,0)</f>
        <v>Client_07</v>
      </c>
    </row>
    <row r="643" spans="1:16">
      <c r="A643" t="s">
        <v>113</v>
      </c>
      <c r="B643" t="s">
        <v>12</v>
      </c>
      <c r="C643">
        <v>140023038</v>
      </c>
      <c r="D643" s="1">
        <v>45757</v>
      </c>
      <c r="E643">
        <v>1249.48</v>
      </c>
      <c r="F643">
        <v>0</v>
      </c>
      <c r="G643">
        <v>700003229</v>
      </c>
      <c r="H643" s="1">
        <v>45758</v>
      </c>
      <c r="I643">
        <f>YEAR(Table1[[#This Row],[Posting Date]])</f>
        <v>2025</v>
      </c>
      <c r="J643">
        <f>MONTH(Table1[[#This Row],[Posting Date]])</f>
        <v>4</v>
      </c>
      <c r="K643" t="str">
        <f>IF(Table1[[#This Row],[Type]]="IN",VLOOKUP(Table1[[#This Row],[Cust '#]],ClientInfo!$A:$D,4,0),"")</f>
        <v>COD</v>
      </c>
      <c r="L643" s="1">
        <f>IF(K643="NET30",Table1[[#This Row],[Posting Date]]+30,IF(K643="NET15",Table1[[#This Row],[Posting Date]]+15,IF(K643="COD",Table1[[#This Row],[Posting Date]],"")))</f>
        <v>45757</v>
      </c>
      <c r="M643" s="4">
        <f>IFERROR(IF(Table1[[#This Row],[Type]]="IN",Table1[[#This Row],[RC Date]]-Table1[[#This Row],[Posting Date]],""),"")</f>
        <v>1</v>
      </c>
      <c r="N643">
        <f>IFERROR(IF(Table1[[#This Row],[Balance Due (LC)]]&lt;&gt;0,$S$1-L643,0),"")</f>
        <v>0</v>
      </c>
      <c r="O643">
        <f>IFERROR(IF(Table1[[#This Row],[Type]]="IN",Table1[[#This Row],[C/D (LC)]],IF(Table1[[#This Row],[Type]]="CN",Table1[[#This Row],[C/D (LC)]],"")),"")</f>
        <v>1249.48</v>
      </c>
      <c r="P643" t="str">
        <f>VLOOKUP(Table1[[#This Row],[Cust '#]],ClientInfo!$A:$B,2,0)</f>
        <v>Client_07</v>
      </c>
    </row>
    <row r="644" spans="1:16">
      <c r="A644" t="s">
        <v>113</v>
      </c>
      <c r="B644" t="s">
        <v>10</v>
      </c>
      <c r="C644">
        <v>700003229</v>
      </c>
      <c r="D644" s="1">
        <v>45758</v>
      </c>
      <c r="E644">
        <v>-8190.78</v>
      </c>
      <c r="F644">
        <v>0</v>
      </c>
      <c r="G644">
        <v>700003229</v>
      </c>
      <c r="H644" s="1">
        <v>45758</v>
      </c>
      <c r="I644">
        <f>YEAR(Table1[[#This Row],[Posting Date]])</f>
        <v>2025</v>
      </c>
      <c r="J644">
        <f>MONTH(Table1[[#This Row],[Posting Date]])</f>
        <v>4</v>
      </c>
      <c r="K644" t="str">
        <f>IF(Table1[[#This Row],[Type]]="IN",VLOOKUP(Table1[[#This Row],[Cust '#]],ClientInfo!$A:$D,4,0),"")</f>
        <v/>
      </c>
      <c r="L644" s="1" t="str">
        <f>IF(K644="NET30",Table1[[#This Row],[Posting Date]]+30,IF(K644="NET15",Table1[[#This Row],[Posting Date]]+15,IF(K644="COD",Table1[[#This Row],[Posting Date]],"")))</f>
        <v/>
      </c>
      <c r="M644" s="4" t="str">
        <f>IFERROR(IF(Table1[[#This Row],[Type]]="IN",Table1[[#This Row],[RC Date]]-Table1[[#This Row],[Posting Date]],""),"")</f>
        <v/>
      </c>
      <c r="N644">
        <f>IFERROR(IF(Table1[[#This Row],[Balance Due (LC)]]&lt;&gt;0,$S$1-L644,0),"")</f>
        <v>0</v>
      </c>
      <c r="O644" t="str">
        <f>IFERROR(IF(Table1[[#This Row],[Type]]="IN",Table1[[#This Row],[C/D (LC)]],IF(Table1[[#This Row],[Type]]="CN",Table1[[#This Row],[C/D (LC)]],"")),"")</f>
        <v/>
      </c>
      <c r="P644" t="str">
        <f>VLOOKUP(Table1[[#This Row],[Cust '#]],ClientInfo!$A:$B,2,0)</f>
        <v>Client_07</v>
      </c>
    </row>
    <row r="645" spans="1:16">
      <c r="A645" t="s">
        <v>113</v>
      </c>
      <c r="B645" t="s">
        <v>12</v>
      </c>
      <c r="C645">
        <v>140023335</v>
      </c>
      <c r="D645" s="1">
        <v>45764</v>
      </c>
      <c r="E645">
        <v>406</v>
      </c>
      <c r="F645">
        <v>0</v>
      </c>
      <c r="G645">
        <v>700003496</v>
      </c>
      <c r="H645" s="1">
        <v>45798</v>
      </c>
      <c r="I645">
        <f>YEAR(Table1[[#This Row],[Posting Date]])</f>
        <v>2025</v>
      </c>
      <c r="J645">
        <f>MONTH(Table1[[#This Row],[Posting Date]])</f>
        <v>4</v>
      </c>
      <c r="K645" t="str">
        <f>IF(Table1[[#This Row],[Type]]="IN",VLOOKUP(Table1[[#This Row],[Cust '#]],ClientInfo!$A:$D,4,0),"")</f>
        <v>COD</v>
      </c>
      <c r="L645" s="1">
        <f>IF(K645="NET30",Table1[[#This Row],[Posting Date]]+30,IF(K645="NET15",Table1[[#This Row],[Posting Date]]+15,IF(K645="COD",Table1[[#This Row],[Posting Date]],"")))</f>
        <v>45764</v>
      </c>
      <c r="M645" s="4">
        <f>IFERROR(IF(Table1[[#This Row],[Type]]="IN",Table1[[#This Row],[RC Date]]-Table1[[#This Row],[Posting Date]],""),"")</f>
        <v>34</v>
      </c>
      <c r="N645">
        <f>IFERROR(IF(Table1[[#This Row],[Balance Due (LC)]]&lt;&gt;0,$S$1-L645,0),"")</f>
        <v>0</v>
      </c>
      <c r="O645">
        <f>IFERROR(IF(Table1[[#This Row],[Type]]="IN",Table1[[#This Row],[C/D (LC)]],IF(Table1[[#This Row],[Type]]="CN",Table1[[#This Row],[C/D (LC)]],"")),"")</f>
        <v>406</v>
      </c>
      <c r="P645" t="str">
        <f>VLOOKUP(Table1[[#This Row],[Cust '#]],ClientInfo!$A:$B,2,0)</f>
        <v>Client_07</v>
      </c>
    </row>
    <row r="646" spans="1:16">
      <c r="A646" t="s">
        <v>113</v>
      </c>
      <c r="B646" t="s">
        <v>12</v>
      </c>
      <c r="C646">
        <v>140023645</v>
      </c>
      <c r="D646" s="1">
        <v>45771</v>
      </c>
      <c r="E646">
        <v>2043.66</v>
      </c>
      <c r="F646">
        <v>0</v>
      </c>
      <c r="G646">
        <v>700003496</v>
      </c>
      <c r="H646" s="1">
        <v>45798</v>
      </c>
      <c r="I646">
        <f>YEAR(Table1[[#This Row],[Posting Date]])</f>
        <v>2025</v>
      </c>
      <c r="J646">
        <f>MONTH(Table1[[#This Row],[Posting Date]])</f>
        <v>4</v>
      </c>
      <c r="K646" t="str">
        <f>IF(Table1[[#This Row],[Type]]="IN",VLOOKUP(Table1[[#This Row],[Cust '#]],ClientInfo!$A:$D,4,0),"")</f>
        <v>COD</v>
      </c>
      <c r="L646" s="1">
        <f>IF(K646="NET30",Table1[[#This Row],[Posting Date]]+30,IF(K646="NET15",Table1[[#This Row],[Posting Date]]+15,IF(K646="COD",Table1[[#This Row],[Posting Date]],"")))</f>
        <v>45771</v>
      </c>
      <c r="M646" s="4">
        <f>IFERROR(IF(Table1[[#This Row],[Type]]="IN",Table1[[#This Row],[RC Date]]-Table1[[#This Row],[Posting Date]],""),"")</f>
        <v>27</v>
      </c>
      <c r="N646">
        <f>IFERROR(IF(Table1[[#This Row],[Balance Due (LC)]]&lt;&gt;0,$S$1-L646,0),"")</f>
        <v>0</v>
      </c>
      <c r="O646">
        <f>IFERROR(IF(Table1[[#This Row],[Type]]="IN",Table1[[#This Row],[C/D (LC)]],IF(Table1[[#This Row],[Type]]="CN",Table1[[#This Row],[C/D (LC)]],"")),"")</f>
        <v>2043.66</v>
      </c>
      <c r="P646" t="str">
        <f>VLOOKUP(Table1[[#This Row],[Cust '#]],ClientInfo!$A:$B,2,0)</f>
        <v>Client_07</v>
      </c>
    </row>
    <row r="647" spans="1:16">
      <c r="A647" t="s">
        <v>113</v>
      </c>
      <c r="B647" t="s">
        <v>12</v>
      </c>
      <c r="C647">
        <v>140023918</v>
      </c>
      <c r="D647" s="1">
        <v>45777</v>
      </c>
      <c r="E647">
        <v>3833.96</v>
      </c>
      <c r="F647">
        <v>0</v>
      </c>
      <c r="G647">
        <v>700003496</v>
      </c>
      <c r="H647" s="1">
        <v>45798</v>
      </c>
      <c r="I647">
        <f>YEAR(Table1[[#This Row],[Posting Date]])</f>
        <v>2025</v>
      </c>
      <c r="J647">
        <f>MONTH(Table1[[#This Row],[Posting Date]])</f>
        <v>4</v>
      </c>
      <c r="K647" t="str">
        <f>IF(Table1[[#This Row],[Type]]="IN",VLOOKUP(Table1[[#This Row],[Cust '#]],ClientInfo!$A:$D,4,0),"")</f>
        <v>COD</v>
      </c>
      <c r="L647" s="1">
        <f>IF(K647="NET30",Table1[[#This Row],[Posting Date]]+30,IF(K647="NET15",Table1[[#This Row],[Posting Date]]+15,IF(K647="COD",Table1[[#This Row],[Posting Date]],"")))</f>
        <v>45777</v>
      </c>
      <c r="M647" s="4">
        <f>IFERROR(IF(Table1[[#This Row],[Type]]="IN",Table1[[#This Row],[RC Date]]-Table1[[#This Row],[Posting Date]],""),"")</f>
        <v>21</v>
      </c>
      <c r="N647">
        <f>IFERROR(IF(Table1[[#This Row],[Balance Due (LC)]]&lt;&gt;0,$S$1-L647,0),"")</f>
        <v>0</v>
      </c>
      <c r="O647">
        <f>IFERROR(IF(Table1[[#This Row],[Type]]="IN",Table1[[#This Row],[C/D (LC)]],IF(Table1[[#This Row],[Type]]="CN",Table1[[#This Row],[C/D (LC)]],"")),"")</f>
        <v>3833.96</v>
      </c>
      <c r="P647" t="str">
        <f>VLOOKUP(Table1[[#This Row],[Cust '#]],ClientInfo!$A:$B,2,0)</f>
        <v>Client_07</v>
      </c>
    </row>
    <row r="648" spans="1:16">
      <c r="A648" t="s">
        <v>113</v>
      </c>
      <c r="B648" t="s">
        <v>12</v>
      </c>
      <c r="C648">
        <v>140024256</v>
      </c>
      <c r="D648" s="1">
        <v>45785</v>
      </c>
      <c r="E648">
        <v>1373.86</v>
      </c>
      <c r="F648">
        <v>0</v>
      </c>
      <c r="G648">
        <v>700003496</v>
      </c>
      <c r="H648" s="1">
        <v>45798</v>
      </c>
      <c r="I648">
        <f>YEAR(Table1[[#This Row],[Posting Date]])</f>
        <v>2025</v>
      </c>
      <c r="J648">
        <f>MONTH(Table1[[#This Row],[Posting Date]])</f>
        <v>5</v>
      </c>
      <c r="K648" t="str">
        <f>IF(Table1[[#This Row],[Type]]="IN",VLOOKUP(Table1[[#This Row],[Cust '#]],ClientInfo!$A:$D,4,0),"")</f>
        <v>COD</v>
      </c>
      <c r="L648" s="1">
        <f>IF(K648="NET30",Table1[[#This Row],[Posting Date]]+30,IF(K648="NET15",Table1[[#This Row],[Posting Date]]+15,IF(K648="COD",Table1[[#This Row],[Posting Date]],"")))</f>
        <v>45785</v>
      </c>
      <c r="M648" s="4">
        <f>IFERROR(IF(Table1[[#This Row],[Type]]="IN",Table1[[#This Row],[RC Date]]-Table1[[#This Row],[Posting Date]],""),"")</f>
        <v>13</v>
      </c>
      <c r="N648">
        <f>IFERROR(IF(Table1[[#This Row],[Balance Due (LC)]]&lt;&gt;0,$S$1-L648,0),"")</f>
        <v>0</v>
      </c>
      <c r="O648">
        <f>IFERROR(IF(Table1[[#This Row],[Type]]="IN",Table1[[#This Row],[C/D (LC)]],IF(Table1[[#This Row],[Type]]="CN",Table1[[#This Row],[C/D (LC)]],"")),"")</f>
        <v>1373.86</v>
      </c>
      <c r="P648" t="str">
        <f>VLOOKUP(Table1[[#This Row],[Cust '#]],ClientInfo!$A:$B,2,0)</f>
        <v>Client_07</v>
      </c>
    </row>
    <row r="649" spans="1:16">
      <c r="A649" t="s">
        <v>113</v>
      </c>
      <c r="B649" t="s">
        <v>12</v>
      </c>
      <c r="C649">
        <v>140024594</v>
      </c>
      <c r="D649" s="1">
        <v>45792</v>
      </c>
      <c r="E649">
        <v>1524.2</v>
      </c>
      <c r="F649">
        <v>0</v>
      </c>
      <c r="G649">
        <v>700003496</v>
      </c>
      <c r="H649" s="1">
        <v>45798</v>
      </c>
      <c r="I649">
        <f>YEAR(Table1[[#This Row],[Posting Date]])</f>
        <v>2025</v>
      </c>
      <c r="J649">
        <f>MONTH(Table1[[#This Row],[Posting Date]])</f>
        <v>5</v>
      </c>
      <c r="K649" t="str">
        <f>IF(Table1[[#This Row],[Type]]="IN",VLOOKUP(Table1[[#This Row],[Cust '#]],ClientInfo!$A:$D,4,0),"")</f>
        <v>COD</v>
      </c>
      <c r="L649" s="1">
        <f>IF(K649="NET30",Table1[[#This Row],[Posting Date]]+30,IF(K649="NET15",Table1[[#This Row],[Posting Date]]+15,IF(K649="COD",Table1[[#This Row],[Posting Date]],"")))</f>
        <v>45792</v>
      </c>
      <c r="M649" s="4">
        <f>IFERROR(IF(Table1[[#This Row],[Type]]="IN",Table1[[#This Row],[RC Date]]-Table1[[#This Row],[Posting Date]],""),"")</f>
        <v>6</v>
      </c>
      <c r="N649">
        <f>IFERROR(IF(Table1[[#This Row],[Balance Due (LC)]]&lt;&gt;0,$S$1-L649,0),"")</f>
        <v>0</v>
      </c>
      <c r="O649">
        <f>IFERROR(IF(Table1[[#This Row],[Type]]="IN",Table1[[#This Row],[C/D (LC)]],IF(Table1[[#This Row],[Type]]="CN",Table1[[#This Row],[C/D (LC)]],"")),"")</f>
        <v>1524.2</v>
      </c>
      <c r="P649" t="str">
        <f>VLOOKUP(Table1[[#This Row],[Cust '#]],ClientInfo!$A:$B,2,0)</f>
        <v>Client_07</v>
      </c>
    </row>
    <row r="650" spans="1:16">
      <c r="A650" t="s">
        <v>113</v>
      </c>
      <c r="B650" t="s">
        <v>10</v>
      </c>
      <c r="C650">
        <v>700003496</v>
      </c>
      <c r="D650" s="1">
        <v>45798</v>
      </c>
      <c r="E650">
        <v>-9181.68</v>
      </c>
      <c r="F650">
        <v>0</v>
      </c>
      <c r="G650">
        <v>700003496</v>
      </c>
      <c r="H650" s="1">
        <v>45798</v>
      </c>
      <c r="I650">
        <f>YEAR(Table1[[#This Row],[Posting Date]])</f>
        <v>2025</v>
      </c>
      <c r="J650">
        <f>MONTH(Table1[[#This Row],[Posting Date]])</f>
        <v>5</v>
      </c>
      <c r="K650" t="str">
        <f>IF(Table1[[#This Row],[Type]]="IN",VLOOKUP(Table1[[#This Row],[Cust '#]],ClientInfo!$A:$D,4,0),"")</f>
        <v/>
      </c>
      <c r="L650" s="1" t="str">
        <f>IF(K650="NET30",Table1[[#This Row],[Posting Date]]+30,IF(K650="NET15",Table1[[#This Row],[Posting Date]]+15,IF(K650="COD",Table1[[#This Row],[Posting Date]],"")))</f>
        <v/>
      </c>
      <c r="M650" s="4" t="str">
        <f>IFERROR(IF(Table1[[#This Row],[Type]]="IN",Table1[[#This Row],[RC Date]]-Table1[[#This Row],[Posting Date]],""),"")</f>
        <v/>
      </c>
      <c r="N650">
        <f>IFERROR(IF(Table1[[#This Row],[Balance Due (LC)]]&lt;&gt;0,$S$1-L650,0),"")</f>
        <v>0</v>
      </c>
      <c r="O650" t="str">
        <f>IFERROR(IF(Table1[[#This Row],[Type]]="IN",Table1[[#This Row],[C/D (LC)]],IF(Table1[[#This Row],[Type]]="CN",Table1[[#This Row],[C/D (LC)]],"")),"")</f>
        <v/>
      </c>
      <c r="P650" t="str">
        <f>VLOOKUP(Table1[[#This Row],[Cust '#]],ClientInfo!$A:$B,2,0)</f>
        <v>Client_07</v>
      </c>
    </row>
    <row r="651" spans="1:16">
      <c r="A651" t="s">
        <v>113</v>
      </c>
      <c r="B651" t="s">
        <v>12</v>
      </c>
      <c r="C651">
        <v>140024894</v>
      </c>
      <c r="D651" s="1">
        <v>45799</v>
      </c>
      <c r="E651">
        <v>1240.4000000000001</v>
      </c>
      <c r="F651">
        <v>0</v>
      </c>
      <c r="G651">
        <v>700003673</v>
      </c>
      <c r="H651" s="1">
        <v>45818</v>
      </c>
      <c r="I651">
        <f>YEAR(Table1[[#This Row],[Posting Date]])</f>
        <v>2025</v>
      </c>
      <c r="J651">
        <f>MONTH(Table1[[#This Row],[Posting Date]])</f>
        <v>5</v>
      </c>
      <c r="K651" t="str">
        <f>IF(Table1[[#This Row],[Type]]="IN",VLOOKUP(Table1[[#This Row],[Cust '#]],ClientInfo!$A:$D,4,0),"")</f>
        <v>COD</v>
      </c>
      <c r="L651" s="1">
        <f>IF(K651="NET30",Table1[[#This Row],[Posting Date]]+30,IF(K651="NET15",Table1[[#This Row],[Posting Date]]+15,IF(K651="COD",Table1[[#This Row],[Posting Date]],"")))</f>
        <v>45799</v>
      </c>
      <c r="M651" s="4">
        <f>IFERROR(IF(Table1[[#This Row],[Type]]="IN",Table1[[#This Row],[RC Date]]-Table1[[#This Row],[Posting Date]],""),"")</f>
        <v>19</v>
      </c>
      <c r="N651">
        <f>IFERROR(IF(Table1[[#This Row],[Balance Due (LC)]]&lt;&gt;0,$S$1-L651,0),"")</f>
        <v>0</v>
      </c>
      <c r="O651">
        <f>IFERROR(IF(Table1[[#This Row],[Type]]="IN",Table1[[#This Row],[C/D (LC)]],IF(Table1[[#This Row],[Type]]="CN",Table1[[#This Row],[C/D (LC)]],"")),"")</f>
        <v>1240.4000000000001</v>
      </c>
      <c r="P651" t="str">
        <f>VLOOKUP(Table1[[#This Row],[Cust '#]],ClientInfo!$A:$B,2,0)</f>
        <v>Client_07</v>
      </c>
    </row>
    <row r="652" spans="1:16">
      <c r="A652" t="s">
        <v>113</v>
      </c>
      <c r="B652" t="s">
        <v>13</v>
      </c>
      <c r="C652">
        <v>150001140</v>
      </c>
      <c r="D652" s="1">
        <v>45804</v>
      </c>
      <c r="E652">
        <v>-20.399999999999999</v>
      </c>
      <c r="F652">
        <v>0</v>
      </c>
      <c r="G652">
        <v>700003673</v>
      </c>
      <c r="H652" s="1">
        <v>45818</v>
      </c>
      <c r="I652">
        <f>YEAR(Table1[[#This Row],[Posting Date]])</f>
        <v>2025</v>
      </c>
      <c r="J652">
        <f>MONTH(Table1[[#This Row],[Posting Date]])</f>
        <v>5</v>
      </c>
      <c r="K652" t="str">
        <f>IF(Table1[[#This Row],[Type]]="IN",VLOOKUP(Table1[[#This Row],[Cust '#]],ClientInfo!$A:$D,4,0),"")</f>
        <v/>
      </c>
      <c r="L652" s="1" t="str">
        <f>IF(K652="NET30",Table1[[#This Row],[Posting Date]]+30,IF(K652="NET15",Table1[[#This Row],[Posting Date]]+15,IF(K652="COD",Table1[[#This Row],[Posting Date]],"")))</f>
        <v/>
      </c>
      <c r="M652" s="4" t="str">
        <f>IFERROR(IF(Table1[[#This Row],[Type]]="IN",Table1[[#This Row],[RC Date]]-Table1[[#This Row],[Posting Date]],""),"")</f>
        <v/>
      </c>
      <c r="N652">
        <f>IFERROR(IF(Table1[[#This Row],[Balance Due (LC)]]&lt;&gt;0,$S$1-L652,0),"")</f>
        <v>0</v>
      </c>
      <c r="O652">
        <f>IFERROR(IF(Table1[[#This Row],[Type]]="IN",Table1[[#This Row],[C/D (LC)]],IF(Table1[[#This Row],[Type]]="CN",Table1[[#This Row],[C/D (LC)]],"")),"")</f>
        <v>-20.399999999999999</v>
      </c>
      <c r="P652" t="str">
        <f>VLOOKUP(Table1[[#This Row],[Cust '#]],ClientInfo!$A:$B,2,0)</f>
        <v>Client_07</v>
      </c>
    </row>
    <row r="653" spans="1:16">
      <c r="A653" t="s">
        <v>113</v>
      </c>
      <c r="B653" t="s">
        <v>12</v>
      </c>
      <c r="C653">
        <v>140025189</v>
      </c>
      <c r="D653" s="1">
        <v>45806</v>
      </c>
      <c r="E653">
        <v>2117.1</v>
      </c>
      <c r="F653">
        <v>0</v>
      </c>
      <c r="G653">
        <v>700003673</v>
      </c>
      <c r="H653" s="1">
        <v>45818</v>
      </c>
      <c r="I653">
        <f>YEAR(Table1[[#This Row],[Posting Date]])</f>
        <v>2025</v>
      </c>
      <c r="J653">
        <f>MONTH(Table1[[#This Row],[Posting Date]])</f>
        <v>5</v>
      </c>
      <c r="K653" t="str">
        <f>IF(Table1[[#This Row],[Type]]="IN",VLOOKUP(Table1[[#This Row],[Cust '#]],ClientInfo!$A:$D,4,0),"")</f>
        <v>COD</v>
      </c>
      <c r="L653" s="1">
        <f>IF(K653="NET30",Table1[[#This Row],[Posting Date]]+30,IF(K653="NET15",Table1[[#This Row],[Posting Date]]+15,IF(K653="COD",Table1[[#This Row],[Posting Date]],"")))</f>
        <v>45806</v>
      </c>
      <c r="M653" s="4">
        <f>IFERROR(IF(Table1[[#This Row],[Type]]="IN",Table1[[#This Row],[RC Date]]-Table1[[#This Row],[Posting Date]],""),"")</f>
        <v>12</v>
      </c>
      <c r="N653">
        <f>IFERROR(IF(Table1[[#This Row],[Balance Due (LC)]]&lt;&gt;0,$S$1-L653,0),"")</f>
        <v>0</v>
      </c>
      <c r="O653">
        <f>IFERROR(IF(Table1[[#This Row],[Type]]="IN",Table1[[#This Row],[C/D (LC)]],IF(Table1[[#This Row],[Type]]="CN",Table1[[#This Row],[C/D (LC)]],"")),"")</f>
        <v>2117.1</v>
      </c>
      <c r="P653" t="str">
        <f>VLOOKUP(Table1[[#This Row],[Cust '#]],ClientInfo!$A:$B,2,0)</f>
        <v>Client_07</v>
      </c>
    </row>
    <row r="654" spans="1:16">
      <c r="A654" t="s">
        <v>113</v>
      </c>
      <c r="B654" t="s">
        <v>12</v>
      </c>
      <c r="C654">
        <v>140025514</v>
      </c>
      <c r="D654" s="1">
        <v>45813</v>
      </c>
      <c r="E654">
        <v>7318.36</v>
      </c>
      <c r="F654">
        <v>0</v>
      </c>
      <c r="G654">
        <v>700003673</v>
      </c>
      <c r="H654" s="1">
        <v>45818</v>
      </c>
      <c r="I654">
        <f>YEAR(Table1[[#This Row],[Posting Date]])</f>
        <v>2025</v>
      </c>
      <c r="J654">
        <f>MONTH(Table1[[#This Row],[Posting Date]])</f>
        <v>6</v>
      </c>
      <c r="K654" t="str">
        <f>IF(Table1[[#This Row],[Type]]="IN",VLOOKUP(Table1[[#This Row],[Cust '#]],ClientInfo!$A:$D,4,0),"")</f>
        <v>COD</v>
      </c>
      <c r="L654" s="1">
        <f>IF(K654="NET30",Table1[[#This Row],[Posting Date]]+30,IF(K654="NET15",Table1[[#This Row],[Posting Date]]+15,IF(K654="COD",Table1[[#This Row],[Posting Date]],"")))</f>
        <v>45813</v>
      </c>
      <c r="M654" s="4">
        <f>IFERROR(IF(Table1[[#This Row],[Type]]="IN",Table1[[#This Row],[RC Date]]-Table1[[#This Row],[Posting Date]],""),"")</f>
        <v>5</v>
      </c>
      <c r="N654">
        <f>IFERROR(IF(Table1[[#This Row],[Balance Due (LC)]]&lt;&gt;0,$S$1-L654,0),"")</f>
        <v>0</v>
      </c>
      <c r="O654">
        <f>IFERROR(IF(Table1[[#This Row],[Type]]="IN",Table1[[#This Row],[C/D (LC)]],IF(Table1[[#This Row],[Type]]="CN",Table1[[#This Row],[C/D (LC)]],"")),"")</f>
        <v>7318.36</v>
      </c>
      <c r="P654" t="str">
        <f>VLOOKUP(Table1[[#This Row],[Cust '#]],ClientInfo!$A:$B,2,0)</f>
        <v>Client_07</v>
      </c>
    </row>
    <row r="655" spans="1:16">
      <c r="A655" t="s">
        <v>113</v>
      </c>
      <c r="B655" t="s">
        <v>10</v>
      </c>
      <c r="C655">
        <v>700003673</v>
      </c>
      <c r="D655" s="1">
        <v>45818</v>
      </c>
      <c r="E655">
        <v>-10655.46</v>
      </c>
      <c r="F655">
        <v>0</v>
      </c>
      <c r="G655">
        <v>700003673</v>
      </c>
      <c r="H655" s="1">
        <v>45818</v>
      </c>
      <c r="I655">
        <f>YEAR(Table1[[#This Row],[Posting Date]])</f>
        <v>2025</v>
      </c>
      <c r="J655">
        <f>MONTH(Table1[[#This Row],[Posting Date]])</f>
        <v>6</v>
      </c>
      <c r="K655" t="str">
        <f>IF(Table1[[#This Row],[Type]]="IN",VLOOKUP(Table1[[#This Row],[Cust '#]],ClientInfo!$A:$D,4,0),"")</f>
        <v/>
      </c>
      <c r="L655" s="1" t="str">
        <f>IF(K655="NET30",Table1[[#This Row],[Posting Date]]+30,IF(K655="NET15",Table1[[#This Row],[Posting Date]]+15,IF(K655="COD",Table1[[#This Row],[Posting Date]],"")))</f>
        <v/>
      </c>
      <c r="M655" s="4" t="str">
        <f>IFERROR(IF(Table1[[#This Row],[Type]]="IN",Table1[[#This Row],[RC Date]]-Table1[[#This Row],[Posting Date]],""),"")</f>
        <v/>
      </c>
      <c r="N655">
        <f>IFERROR(IF(Table1[[#This Row],[Balance Due (LC)]]&lt;&gt;0,$S$1-L655,0),"")</f>
        <v>0</v>
      </c>
      <c r="O655" t="str">
        <f>IFERROR(IF(Table1[[#This Row],[Type]]="IN",Table1[[#This Row],[C/D (LC)]],IF(Table1[[#This Row],[Type]]="CN",Table1[[#This Row],[C/D (LC)]],"")),"")</f>
        <v/>
      </c>
      <c r="P655" t="str">
        <f>VLOOKUP(Table1[[#This Row],[Cust '#]],ClientInfo!$A:$B,2,0)</f>
        <v>Client_07</v>
      </c>
    </row>
    <row r="656" spans="1:16">
      <c r="A656" t="s">
        <v>113</v>
      </c>
      <c r="B656" t="s">
        <v>12</v>
      </c>
      <c r="C656">
        <v>140025851</v>
      </c>
      <c r="D656" s="1">
        <v>45820</v>
      </c>
      <c r="E656">
        <v>2188.61</v>
      </c>
      <c r="F656">
        <v>2188.61</v>
      </c>
      <c r="H656" s="1" t="s">
        <v>14</v>
      </c>
      <c r="I656">
        <f>YEAR(Table1[[#This Row],[Posting Date]])</f>
        <v>2025</v>
      </c>
      <c r="J656">
        <f>MONTH(Table1[[#This Row],[Posting Date]])</f>
        <v>6</v>
      </c>
      <c r="K656" t="str">
        <f>IF(Table1[[#This Row],[Type]]="IN",VLOOKUP(Table1[[#This Row],[Cust '#]],ClientInfo!$A:$D,4,0),"")</f>
        <v>COD</v>
      </c>
      <c r="L656" s="1">
        <f>IF(K656="NET30",Table1[[#This Row],[Posting Date]]+30,IF(K656="NET15",Table1[[#This Row],[Posting Date]]+15,IF(K656="COD",Table1[[#This Row],[Posting Date]],"")))</f>
        <v>45820</v>
      </c>
      <c r="M656" s="4" t="str">
        <f>IFERROR(IF(Table1[[#This Row],[Type]]="IN",Table1[[#This Row],[RC Date]]-Table1[[#This Row],[Posting Date]],""),"")</f>
        <v/>
      </c>
      <c r="N656">
        <f>IFERROR(IF(Table1[[#This Row],[Balance Due (LC)]]&lt;&gt;0,$S$1-L656,0),"")</f>
        <v>6</v>
      </c>
      <c r="O656">
        <f>IFERROR(IF(Table1[[#This Row],[Type]]="IN",Table1[[#This Row],[C/D (LC)]],IF(Table1[[#This Row],[Type]]="CN",Table1[[#This Row],[C/D (LC)]],"")),"")</f>
        <v>2188.61</v>
      </c>
      <c r="P656" t="str">
        <f>VLOOKUP(Table1[[#This Row],[Cust '#]],ClientInfo!$A:$B,2,0)</f>
        <v>Client_07</v>
      </c>
    </row>
    <row r="657" spans="1:16">
      <c r="A657" t="s">
        <v>113</v>
      </c>
      <c r="B657" t="s">
        <v>13</v>
      </c>
      <c r="C657">
        <v>150001195</v>
      </c>
      <c r="D657" s="1">
        <v>45825</v>
      </c>
      <c r="E657">
        <v>-382</v>
      </c>
      <c r="F657">
        <v>-382</v>
      </c>
      <c r="H657" s="1" t="s">
        <v>14</v>
      </c>
      <c r="I657">
        <f>YEAR(Table1[[#This Row],[Posting Date]])</f>
        <v>2025</v>
      </c>
      <c r="J657">
        <f>MONTH(Table1[[#This Row],[Posting Date]])</f>
        <v>6</v>
      </c>
      <c r="K657" t="str">
        <f>IF(Table1[[#This Row],[Type]]="IN",VLOOKUP(Table1[[#This Row],[Cust '#]],ClientInfo!$A:$D,4,0),"")</f>
        <v/>
      </c>
      <c r="L657" s="1" t="str">
        <f>IF(K657="NET30",Table1[[#This Row],[Posting Date]]+30,IF(K657="NET15",Table1[[#This Row],[Posting Date]]+15,IF(K657="COD",Table1[[#This Row],[Posting Date]],"")))</f>
        <v/>
      </c>
      <c r="M657" s="4" t="str">
        <f>IFERROR(IF(Table1[[#This Row],[Type]]="IN",Table1[[#This Row],[RC Date]]-Table1[[#This Row],[Posting Date]],""),"")</f>
        <v/>
      </c>
      <c r="N657" t="str">
        <f>IFERROR(IF(Table1[[#This Row],[Balance Due (LC)]]&lt;&gt;0,$S$1-L657,0),"")</f>
        <v/>
      </c>
      <c r="O657">
        <f>IFERROR(IF(Table1[[#This Row],[Type]]="IN",Table1[[#This Row],[C/D (LC)]],IF(Table1[[#This Row],[Type]]="CN",Table1[[#This Row],[C/D (LC)]],"")),"")</f>
        <v>-382</v>
      </c>
      <c r="P657" t="str">
        <f>VLOOKUP(Table1[[#This Row],[Cust '#]],ClientInfo!$A:$B,2,0)</f>
        <v>Client_07</v>
      </c>
    </row>
    <row r="658" spans="1:16">
      <c r="A658" t="s">
        <v>114</v>
      </c>
      <c r="B658" t="s">
        <v>12</v>
      </c>
      <c r="C658">
        <v>140003932</v>
      </c>
      <c r="D658" s="1">
        <v>45293</v>
      </c>
      <c r="E658">
        <v>10416.700000000001</v>
      </c>
      <c r="F658">
        <v>0</v>
      </c>
      <c r="G658">
        <v>700000082</v>
      </c>
      <c r="H658" s="1">
        <v>45355</v>
      </c>
      <c r="I658">
        <f>YEAR(Table1[[#This Row],[Posting Date]])</f>
        <v>2024</v>
      </c>
      <c r="J658">
        <f>MONTH(Table1[[#This Row],[Posting Date]])</f>
        <v>1</v>
      </c>
      <c r="K658" t="str">
        <f>IF(Table1[[#This Row],[Type]]="IN",VLOOKUP(Table1[[#This Row],[Cust '#]],ClientInfo!$A:$D,4,0),"")</f>
        <v>NET30</v>
      </c>
      <c r="L658" s="1">
        <f>IF(K658="NET30",Table1[[#This Row],[Posting Date]]+30,IF(K658="NET15",Table1[[#This Row],[Posting Date]]+15,IF(K658="COD",Table1[[#This Row],[Posting Date]],"")))</f>
        <v>45323</v>
      </c>
      <c r="M658" s="4">
        <f>IFERROR(IF(Table1[[#This Row],[Type]]="IN",Table1[[#This Row],[RC Date]]-Table1[[#This Row],[Posting Date]],""),"")</f>
        <v>62</v>
      </c>
      <c r="N658">
        <f>IFERROR(IF(Table1[[#This Row],[Balance Due (LC)]]&lt;&gt;0,$S$1-L658,0),"")</f>
        <v>0</v>
      </c>
      <c r="O658">
        <f>IFERROR(IF(Table1[[#This Row],[Type]]="IN",Table1[[#This Row],[C/D (LC)]],IF(Table1[[#This Row],[Type]]="CN",Table1[[#This Row],[C/D (LC)]],"")),"")</f>
        <v>10416.700000000001</v>
      </c>
      <c r="P658" t="str">
        <f>VLOOKUP(Table1[[#This Row],[Cust '#]],ClientInfo!$A:$B,2,0)</f>
        <v>Client_08</v>
      </c>
    </row>
    <row r="659" spans="1:16">
      <c r="A659" t="s">
        <v>114</v>
      </c>
      <c r="B659" t="s">
        <v>12</v>
      </c>
      <c r="C659">
        <v>140003933</v>
      </c>
      <c r="D659" s="1">
        <v>45300</v>
      </c>
      <c r="E659">
        <v>11976.8</v>
      </c>
      <c r="F659">
        <v>0</v>
      </c>
      <c r="G659">
        <v>700000082</v>
      </c>
      <c r="H659" s="1">
        <v>45355</v>
      </c>
      <c r="I659">
        <f>YEAR(Table1[[#This Row],[Posting Date]])</f>
        <v>2024</v>
      </c>
      <c r="J659">
        <f>MONTH(Table1[[#This Row],[Posting Date]])</f>
        <v>1</v>
      </c>
      <c r="K659" t="str">
        <f>IF(Table1[[#This Row],[Type]]="IN",VLOOKUP(Table1[[#This Row],[Cust '#]],ClientInfo!$A:$D,4,0),"")</f>
        <v>NET30</v>
      </c>
      <c r="L659" s="1">
        <f>IF(K659="NET30",Table1[[#This Row],[Posting Date]]+30,IF(K659="NET15",Table1[[#This Row],[Posting Date]]+15,IF(K659="COD",Table1[[#This Row],[Posting Date]],"")))</f>
        <v>45330</v>
      </c>
      <c r="M659" s="4">
        <f>IFERROR(IF(Table1[[#This Row],[Type]]="IN",Table1[[#This Row],[RC Date]]-Table1[[#This Row],[Posting Date]],""),"")</f>
        <v>55</v>
      </c>
      <c r="N659">
        <f>IFERROR(IF(Table1[[#This Row],[Balance Due (LC)]]&lt;&gt;0,$S$1-L659,0),"")</f>
        <v>0</v>
      </c>
      <c r="O659">
        <f>IFERROR(IF(Table1[[#This Row],[Type]]="IN",Table1[[#This Row],[C/D (LC)]],IF(Table1[[#This Row],[Type]]="CN",Table1[[#This Row],[C/D (LC)]],"")),"")</f>
        <v>11976.8</v>
      </c>
      <c r="P659" t="str">
        <f>VLOOKUP(Table1[[#This Row],[Cust '#]],ClientInfo!$A:$B,2,0)</f>
        <v>Client_08</v>
      </c>
    </row>
    <row r="660" spans="1:16">
      <c r="A660" t="s">
        <v>114</v>
      </c>
      <c r="B660" t="s">
        <v>12</v>
      </c>
      <c r="C660">
        <v>140003934</v>
      </c>
      <c r="D660" s="1">
        <v>45307</v>
      </c>
      <c r="E660">
        <v>7420.25</v>
      </c>
      <c r="F660">
        <v>0</v>
      </c>
      <c r="G660">
        <v>700000082</v>
      </c>
      <c r="H660" s="1">
        <v>45355</v>
      </c>
      <c r="I660">
        <f>YEAR(Table1[[#This Row],[Posting Date]])</f>
        <v>2024</v>
      </c>
      <c r="J660">
        <f>MONTH(Table1[[#This Row],[Posting Date]])</f>
        <v>1</v>
      </c>
      <c r="K660" t="str">
        <f>IF(Table1[[#This Row],[Type]]="IN",VLOOKUP(Table1[[#This Row],[Cust '#]],ClientInfo!$A:$D,4,0),"")</f>
        <v>NET30</v>
      </c>
      <c r="L660" s="1">
        <f>IF(K660="NET30",Table1[[#This Row],[Posting Date]]+30,IF(K660="NET15",Table1[[#This Row],[Posting Date]]+15,IF(K660="COD",Table1[[#This Row],[Posting Date]],"")))</f>
        <v>45337</v>
      </c>
      <c r="M660" s="4">
        <f>IFERROR(IF(Table1[[#This Row],[Type]]="IN",Table1[[#This Row],[RC Date]]-Table1[[#This Row],[Posting Date]],""),"")</f>
        <v>48</v>
      </c>
      <c r="N660">
        <f>IFERROR(IF(Table1[[#This Row],[Balance Due (LC)]]&lt;&gt;0,$S$1-L660,0),"")</f>
        <v>0</v>
      </c>
      <c r="O660">
        <f>IFERROR(IF(Table1[[#This Row],[Type]]="IN",Table1[[#This Row],[C/D (LC)]],IF(Table1[[#This Row],[Type]]="CN",Table1[[#This Row],[C/D (LC)]],"")),"")</f>
        <v>7420.25</v>
      </c>
      <c r="P660" t="str">
        <f>VLOOKUP(Table1[[#This Row],[Cust '#]],ClientInfo!$A:$B,2,0)</f>
        <v>Client_08</v>
      </c>
    </row>
    <row r="661" spans="1:16">
      <c r="A661" t="s">
        <v>114</v>
      </c>
      <c r="B661" t="s">
        <v>12</v>
      </c>
      <c r="C661">
        <v>140003935</v>
      </c>
      <c r="D661" s="1">
        <v>45314</v>
      </c>
      <c r="E661">
        <v>7169.9</v>
      </c>
      <c r="F661">
        <v>0</v>
      </c>
      <c r="G661">
        <v>700000082</v>
      </c>
      <c r="H661" s="1">
        <v>45355</v>
      </c>
      <c r="I661">
        <f>YEAR(Table1[[#This Row],[Posting Date]])</f>
        <v>2024</v>
      </c>
      <c r="J661">
        <f>MONTH(Table1[[#This Row],[Posting Date]])</f>
        <v>1</v>
      </c>
      <c r="K661" t="str">
        <f>IF(Table1[[#This Row],[Type]]="IN",VLOOKUP(Table1[[#This Row],[Cust '#]],ClientInfo!$A:$D,4,0),"")</f>
        <v>NET30</v>
      </c>
      <c r="L661" s="1">
        <f>IF(K661="NET30",Table1[[#This Row],[Posting Date]]+30,IF(K661="NET15",Table1[[#This Row],[Posting Date]]+15,IF(K661="COD",Table1[[#This Row],[Posting Date]],"")))</f>
        <v>45344</v>
      </c>
      <c r="M661" s="4">
        <f>IFERROR(IF(Table1[[#This Row],[Type]]="IN",Table1[[#This Row],[RC Date]]-Table1[[#This Row],[Posting Date]],""),"")</f>
        <v>41</v>
      </c>
      <c r="N661">
        <f>IFERROR(IF(Table1[[#This Row],[Balance Due (LC)]]&lt;&gt;0,$S$1-L661,0),"")</f>
        <v>0</v>
      </c>
      <c r="O661">
        <f>IFERROR(IF(Table1[[#This Row],[Type]]="IN",Table1[[#This Row],[C/D (LC)]],IF(Table1[[#This Row],[Type]]="CN",Table1[[#This Row],[C/D (LC)]],"")),"")</f>
        <v>7169.9</v>
      </c>
      <c r="P661" t="str">
        <f>VLOOKUP(Table1[[#This Row],[Cust '#]],ClientInfo!$A:$B,2,0)</f>
        <v>Client_08</v>
      </c>
    </row>
    <row r="662" spans="1:16">
      <c r="A662" t="s">
        <v>114</v>
      </c>
      <c r="B662" t="s">
        <v>12</v>
      </c>
      <c r="C662">
        <v>140003936</v>
      </c>
      <c r="D662" s="1">
        <v>45314</v>
      </c>
      <c r="E662">
        <v>220</v>
      </c>
      <c r="F662">
        <v>0</v>
      </c>
      <c r="G662">
        <v>700000082</v>
      </c>
      <c r="H662" s="1">
        <v>45355</v>
      </c>
      <c r="I662">
        <f>YEAR(Table1[[#This Row],[Posting Date]])</f>
        <v>2024</v>
      </c>
      <c r="J662">
        <f>MONTH(Table1[[#This Row],[Posting Date]])</f>
        <v>1</v>
      </c>
      <c r="K662" t="str">
        <f>IF(Table1[[#This Row],[Type]]="IN",VLOOKUP(Table1[[#This Row],[Cust '#]],ClientInfo!$A:$D,4,0),"")</f>
        <v>NET30</v>
      </c>
      <c r="L662" s="1">
        <f>IF(K662="NET30",Table1[[#This Row],[Posting Date]]+30,IF(K662="NET15",Table1[[#This Row],[Posting Date]]+15,IF(K662="COD",Table1[[#This Row],[Posting Date]],"")))</f>
        <v>45344</v>
      </c>
      <c r="M662" s="4">
        <f>IFERROR(IF(Table1[[#This Row],[Type]]="IN",Table1[[#This Row],[RC Date]]-Table1[[#This Row],[Posting Date]],""),"")</f>
        <v>41</v>
      </c>
      <c r="N662">
        <f>IFERROR(IF(Table1[[#This Row],[Balance Due (LC)]]&lt;&gt;0,$S$1-L662,0),"")</f>
        <v>0</v>
      </c>
      <c r="O662">
        <f>IFERROR(IF(Table1[[#This Row],[Type]]="IN",Table1[[#This Row],[C/D (LC)]],IF(Table1[[#This Row],[Type]]="CN",Table1[[#This Row],[C/D (LC)]],"")),"")</f>
        <v>220</v>
      </c>
      <c r="P662" t="str">
        <f>VLOOKUP(Table1[[#This Row],[Cust '#]],ClientInfo!$A:$B,2,0)</f>
        <v>Client_08</v>
      </c>
    </row>
    <row r="663" spans="1:16">
      <c r="A663" t="s">
        <v>114</v>
      </c>
      <c r="B663" t="s">
        <v>12</v>
      </c>
      <c r="C663">
        <v>140003937</v>
      </c>
      <c r="D663" s="1">
        <v>45321</v>
      </c>
      <c r="E663">
        <v>10130.4</v>
      </c>
      <c r="F663">
        <v>0</v>
      </c>
      <c r="G663">
        <v>700000082</v>
      </c>
      <c r="H663" s="1">
        <v>45355</v>
      </c>
      <c r="I663">
        <f>YEAR(Table1[[#This Row],[Posting Date]])</f>
        <v>2024</v>
      </c>
      <c r="J663">
        <f>MONTH(Table1[[#This Row],[Posting Date]])</f>
        <v>1</v>
      </c>
      <c r="K663" t="str">
        <f>IF(Table1[[#This Row],[Type]]="IN",VLOOKUP(Table1[[#This Row],[Cust '#]],ClientInfo!$A:$D,4,0),"")</f>
        <v>NET30</v>
      </c>
      <c r="L663" s="1">
        <f>IF(K663="NET30",Table1[[#This Row],[Posting Date]]+30,IF(K663="NET15",Table1[[#This Row],[Posting Date]]+15,IF(K663="COD",Table1[[#This Row],[Posting Date]],"")))</f>
        <v>45351</v>
      </c>
      <c r="M663" s="4">
        <f>IFERROR(IF(Table1[[#This Row],[Type]]="IN",Table1[[#This Row],[RC Date]]-Table1[[#This Row],[Posting Date]],""),"")</f>
        <v>34</v>
      </c>
      <c r="N663">
        <f>IFERROR(IF(Table1[[#This Row],[Balance Due (LC)]]&lt;&gt;0,$S$1-L663,0),"")</f>
        <v>0</v>
      </c>
      <c r="O663">
        <f>IFERROR(IF(Table1[[#This Row],[Type]]="IN",Table1[[#This Row],[C/D (LC)]],IF(Table1[[#This Row],[Type]]="CN",Table1[[#This Row],[C/D (LC)]],"")),"")</f>
        <v>10130.4</v>
      </c>
      <c r="P663" t="str">
        <f>VLOOKUP(Table1[[#This Row],[Cust '#]],ClientInfo!$A:$B,2,0)</f>
        <v>Client_08</v>
      </c>
    </row>
    <row r="664" spans="1:16">
      <c r="A664" t="s">
        <v>114</v>
      </c>
      <c r="B664" t="s">
        <v>12</v>
      </c>
      <c r="C664">
        <v>140003938</v>
      </c>
      <c r="D664" s="1">
        <v>45323</v>
      </c>
      <c r="E664">
        <v>430</v>
      </c>
      <c r="F664">
        <v>0</v>
      </c>
      <c r="G664">
        <v>700000360</v>
      </c>
      <c r="H664" s="1">
        <v>45390</v>
      </c>
      <c r="I664">
        <f>YEAR(Table1[[#This Row],[Posting Date]])</f>
        <v>2024</v>
      </c>
      <c r="J664">
        <f>MONTH(Table1[[#This Row],[Posting Date]])</f>
        <v>2</v>
      </c>
      <c r="K664" t="str">
        <f>IF(Table1[[#This Row],[Type]]="IN",VLOOKUP(Table1[[#This Row],[Cust '#]],ClientInfo!$A:$D,4,0),"")</f>
        <v>NET30</v>
      </c>
      <c r="L664" s="1">
        <f>IF(K664="NET30",Table1[[#This Row],[Posting Date]]+30,IF(K664="NET15",Table1[[#This Row],[Posting Date]]+15,IF(K664="COD",Table1[[#This Row],[Posting Date]],"")))</f>
        <v>45353</v>
      </c>
      <c r="M664" s="4">
        <f>IFERROR(IF(Table1[[#This Row],[Type]]="IN",Table1[[#This Row],[RC Date]]-Table1[[#This Row],[Posting Date]],""),"")</f>
        <v>67</v>
      </c>
      <c r="N664">
        <f>IFERROR(IF(Table1[[#This Row],[Balance Due (LC)]]&lt;&gt;0,$S$1-L664,0),"")</f>
        <v>0</v>
      </c>
      <c r="O664">
        <f>IFERROR(IF(Table1[[#This Row],[Type]]="IN",Table1[[#This Row],[C/D (LC)]],IF(Table1[[#This Row],[Type]]="CN",Table1[[#This Row],[C/D (LC)]],"")),"")</f>
        <v>430</v>
      </c>
      <c r="P664" t="str">
        <f>VLOOKUP(Table1[[#This Row],[Cust '#]],ClientInfo!$A:$B,2,0)</f>
        <v>Client_08</v>
      </c>
    </row>
    <row r="665" spans="1:16">
      <c r="A665" t="s">
        <v>114</v>
      </c>
      <c r="B665" t="s">
        <v>12</v>
      </c>
      <c r="C665">
        <v>140003939</v>
      </c>
      <c r="D665" s="1">
        <v>45328</v>
      </c>
      <c r="E665">
        <v>11333</v>
      </c>
      <c r="F665">
        <v>0</v>
      </c>
      <c r="G665">
        <v>700000360</v>
      </c>
      <c r="H665" s="1">
        <v>45390</v>
      </c>
      <c r="I665">
        <f>YEAR(Table1[[#This Row],[Posting Date]])</f>
        <v>2024</v>
      </c>
      <c r="J665">
        <f>MONTH(Table1[[#This Row],[Posting Date]])</f>
        <v>2</v>
      </c>
      <c r="K665" t="str">
        <f>IF(Table1[[#This Row],[Type]]="IN",VLOOKUP(Table1[[#This Row],[Cust '#]],ClientInfo!$A:$D,4,0),"")</f>
        <v>NET30</v>
      </c>
      <c r="L665" s="1">
        <f>IF(K665="NET30",Table1[[#This Row],[Posting Date]]+30,IF(K665="NET15",Table1[[#This Row],[Posting Date]]+15,IF(K665="COD",Table1[[#This Row],[Posting Date]],"")))</f>
        <v>45358</v>
      </c>
      <c r="M665" s="4">
        <f>IFERROR(IF(Table1[[#This Row],[Type]]="IN",Table1[[#This Row],[RC Date]]-Table1[[#This Row],[Posting Date]],""),"")</f>
        <v>62</v>
      </c>
      <c r="N665">
        <f>IFERROR(IF(Table1[[#This Row],[Balance Due (LC)]]&lt;&gt;0,$S$1-L665,0),"")</f>
        <v>0</v>
      </c>
      <c r="O665">
        <f>IFERROR(IF(Table1[[#This Row],[Type]]="IN",Table1[[#This Row],[C/D (LC)]],IF(Table1[[#This Row],[Type]]="CN",Table1[[#This Row],[C/D (LC)]],"")),"")</f>
        <v>11333</v>
      </c>
      <c r="P665" t="str">
        <f>VLOOKUP(Table1[[#This Row],[Cust '#]],ClientInfo!$A:$B,2,0)</f>
        <v>Client_08</v>
      </c>
    </row>
    <row r="666" spans="1:16">
      <c r="A666" t="s">
        <v>114</v>
      </c>
      <c r="B666" t="s">
        <v>12</v>
      </c>
      <c r="C666">
        <v>140003940</v>
      </c>
      <c r="D666" s="1">
        <v>45329</v>
      </c>
      <c r="E666">
        <v>200</v>
      </c>
      <c r="F666">
        <v>0</v>
      </c>
      <c r="G666">
        <v>700000360</v>
      </c>
      <c r="H666" s="1">
        <v>45390</v>
      </c>
      <c r="I666">
        <f>YEAR(Table1[[#This Row],[Posting Date]])</f>
        <v>2024</v>
      </c>
      <c r="J666">
        <f>MONTH(Table1[[#This Row],[Posting Date]])</f>
        <v>2</v>
      </c>
      <c r="K666" t="str">
        <f>IF(Table1[[#This Row],[Type]]="IN",VLOOKUP(Table1[[#This Row],[Cust '#]],ClientInfo!$A:$D,4,0),"")</f>
        <v>NET30</v>
      </c>
      <c r="L666" s="1">
        <f>IF(K666="NET30",Table1[[#This Row],[Posting Date]]+30,IF(K666="NET15",Table1[[#This Row],[Posting Date]]+15,IF(K666="COD",Table1[[#This Row],[Posting Date]],"")))</f>
        <v>45359</v>
      </c>
      <c r="M666" s="4">
        <f>IFERROR(IF(Table1[[#This Row],[Type]]="IN",Table1[[#This Row],[RC Date]]-Table1[[#This Row],[Posting Date]],""),"")</f>
        <v>61</v>
      </c>
      <c r="N666">
        <f>IFERROR(IF(Table1[[#This Row],[Balance Due (LC)]]&lt;&gt;0,$S$1-L666,0),"")</f>
        <v>0</v>
      </c>
      <c r="O666">
        <f>IFERROR(IF(Table1[[#This Row],[Type]]="IN",Table1[[#This Row],[C/D (LC)]],IF(Table1[[#This Row],[Type]]="CN",Table1[[#This Row],[C/D (LC)]],"")),"")</f>
        <v>200</v>
      </c>
      <c r="P666" t="str">
        <f>VLOOKUP(Table1[[#This Row],[Cust '#]],ClientInfo!$A:$B,2,0)</f>
        <v>Client_08</v>
      </c>
    </row>
    <row r="667" spans="1:16">
      <c r="A667" t="s">
        <v>114</v>
      </c>
      <c r="B667" t="s">
        <v>12</v>
      </c>
      <c r="C667">
        <v>140003941</v>
      </c>
      <c r="D667" s="1">
        <v>45335</v>
      </c>
      <c r="E667">
        <v>7518.85</v>
      </c>
      <c r="F667">
        <v>0</v>
      </c>
      <c r="G667">
        <v>700000360</v>
      </c>
      <c r="H667" s="1">
        <v>45390</v>
      </c>
      <c r="I667">
        <f>YEAR(Table1[[#This Row],[Posting Date]])</f>
        <v>2024</v>
      </c>
      <c r="J667">
        <f>MONTH(Table1[[#This Row],[Posting Date]])</f>
        <v>2</v>
      </c>
      <c r="K667" t="str">
        <f>IF(Table1[[#This Row],[Type]]="IN",VLOOKUP(Table1[[#This Row],[Cust '#]],ClientInfo!$A:$D,4,0),"")</f>
        <v>NET30</v>
      </c>
      <c r="L667" s="1">
        <f>IF(K667="NET30",Table1[[#This Row],[Posting Date]]+30,IF(K667="NET15",Table1[[#This Row],[Posting Date]]+15,IF(K667="COD",Table1[[#This Row],[Posting Date]],"")))</f>
        <v>45365</v>
      </c>
      <c r="M667" s="4">
        <f>IFERROR(IF(Table1[[#This Row],[Type]]="IN",Table1[[#This Row],[RC Date]]-Table1[[#This Row],[Posting Date]],""),"")</f>
        <v>55</v>
      </c>
      <c r="N667">
        <f>IFERROR(IF(Table1[[#This Row],[Balance Due (LC)]]&lt;&gt;0,$S$1-L667,0),"")</f>
        <v>0</v>
      </c>
      <c r="O667">
        <f>IFERROR(IF(Table1[[#This Row],[Type]]="IN",Table1[[#This Row],[C/D (LC)]],IF(Table1[[#This Row],[Type]]="CN",Table1[[#This Row],[C/D (LC)]],"")),"")</f>
        <v>7518.85</v>
      </c>
      <c r="P667" t="str">
        <f>VLOOKUP(Table1[[#This Row],[Cust '#]],ClientInfo!$A:$B,2,0)</f>
        <v>Client_08</v>
      </c>
    </row>
    <row r="668" spans="1:16">
      <c r="A668" t="s">
        <v>114</v>
      </c>
      <c r="B668" t="s">
        <v>13</v>
      </c>
      <c r="C668">
        <v>150000138</v>
      </c>
      <c r="D668" s="1">
        <v>45337</v>
      </c>
      <c r="E668">
        <v>-242.2</v>
      </c>
      <c r="F668">
        <v>0</v>
      </c>
      <c r="G668">
        <v>700000082</v>
      </c>
      <c r="H668" s="1">
        <v>45355</v>
      </c>
      <c r="I668">
        <f>YEAR(Table1[[#This Row],[Posting Date]])</f>
        <v>2024</v>
      </c>
      <c r="J668">
        <f>MONTH(Table1[[#This Row],[Posting Date]])</f>
        <v>2</v>
      </c>
      <c r="K668" t="str">
        <f>IF(Table1[[#This Row],[Type]]="IN",VLOOKUP(Table1[[#This Row],[Cust '#]],ClientInfo!$A:$D,4,0),"")</f>
        <v/>
      </c>
      <c r="L668" s="1" t="str">
        <f>IF(K668="NET30",Table1[[#This Row],[Posting Date]]+30,IF(K668="NET15",Table1[[#This Row],[Posting Date]]+15,IF(K668="COD",Table1[[#This Row],[Posting Date]],"")))</f>
        <v/>
      </c>
      <c r="M668" s="4" t="str">
        <f>IFERROR(IF(Table1[[#This Row],[Type]]="IN",Table1[[#This Row],[RC Date]]-Table1[[#This Row],[Posting Date]],""),"")</f>
        <v/>
      </c>
      <c r="N668">
        <f>IFERROR(IF(Table1[[#This Row],[Balance Due (LC)]]&lt;&gt;0,$S$1-L668,0),"")</f>
        <v>0</v>
      </c>
      <c r="O668">
        <f>IFERROR(IF(Table1[[#This Row],[Type]]="IN",Table1[[#This Row],[C/D (LC)]],IF(Table1[[#This Row],[Type]]="CN",Table1[[#This Row],[C/D (LC)]],"")),"")</f>
        <v>-242.2</v>
      </c>
      <c r="P668" t="str">
        <f>VLOOKUP(Table1[[#This Row],[Cust '#]],ClientInfo!$A:$B,2,0)</f>
        <v>Client_08</v>
      </c>
    </row>
    <row r="669" spans="1:16">
      <c r="A669" t="s">
        <v>114</v>
      </c>
      <c r="B669" t="s">
        <v>12</v>
      </c>
      <c r="C669">
        <v>140003942</v>
      </c>
      <c r="D669" s="1">
        <v>45342</v>
      </c>
      <c r="E669">
        <v>11091.45</v>
      </c>
      <c r="F669">
        <v>0</v>
      </c>
      <c r="G669">
        <v>700000360</v>
      </c>
      <c r="H669" s="1">
        <v>45390</v>
      </c>
      <c r="I669">
        <f>YEAR(Table1[[#This Row],[Posting Date]])</f>
        <v>2024</v>
      </c>
      <c r="J669">
        <f>MONTH(Table1[[#This Row],[Posting Date]])</f>
        <v>2</v>
      </c>
      <c r="K669" t="str">
        <f>IF(Table1[[#This Row],[Type]]="IN",VLOOKUP(Table1[[#This Row],[Cust '#]],ClientInfo!$A:$D,4,0),"")</f>
        <v>NET30</v>
      </c>
      <c r="L669" s="1">
        <f>IF(K669="NET30",Table1[[#This Row],[Posting Date]]+30,IF(K669="NET15",Table1[[#This Row],[Posting Date]]+15,IF(K669="COD",Table1[[#This Row],[Posting Date]],"")))</f>
        <v>45372</v>
      </c>
      <c r="M669" s="4">
        <f>IFERROR(IF(Table1[[#This Row],[Type]]="IN",Table1[[#This Row],[RC Date]]-Table1[[#This Row],[Posting Date]],""),"")</f>
        <v>48</v>
      </c>
      <c r="N669">
        <f>IFERROR(IF(Table1[[#This Row],[Balance Due (LC)]]&lt;&gt;0,$S$1-L669,0),"")</f>
        <v>0</v>
      </c>
      <c r="O669">
        <f>IFERROR(IF(Table1[[#This Row],[Type]]="IN",Table1[[#This Row],[C/D (LC)]],IF(Table1[[#This Row],[Type]]="CN",Table1[[#This Row],[C/D (LC)]],"")),"")</f>
        <v>11091.45</v>
      </c>
      <c r="P669" t="str">
        <f>VLOOKUP(Table1[[#This Row],[Cust '#]],ClientInfo!$A:$B,2,0)</f>
        <v>Client_08</v>
      </c>
    </row>
    <row r="670" spans="1:16">
      <c r="A670" t="s">
        <v>114</v>
      </c>
      <c r="B670" t="s">
        <v>12</v>
      </c>
      <c r="C670">
        <v>140003943</v>
      </c>
      <c r="D670" s="1">
        <v>45349</v>
      </c>
      <c r="E670">
        <v>7059.75</v>
      </c>
      <c r="F670">
        <v>0</v>
      </c>
      <c r="G670">
        <v>700000360</v>
      </c>
      <c r="H670" s="1">
        <v>45390</v>
      </c>
      <c r="I670">
        <f>YEAR(Table1[[#This Row],[Posting Date]])</f>
        <v>2024</v>
      </c>
      <c r="J670">
        <f>MONTH(Table1[[#This Row],[Posting Date]])</f>
        <v>2</v>
      </c>
      <c r="K670" t="str">
        <f>IF(Table1[[#This Row],[Type]]="IN",VLOOKUP(Table1[[#This Row],[Cust '#]],ClientInfo!$A:$D,4,0),"")</f>
        <v>NET30</v>
      </c>
      <c r="L670" s="1">
        <f>IF(K670="NET30",Table1[[#This Row],[Posting Date]]+30,IF(K670="NET15",Table1[[#This Row],[Posting Date]]+15,IF(K670="COD",Table1[[#This Row],[Posting Date]],"")))</f>
        <v>45379</v>
      </c>
      <c r="M670" s="4">
        <f>IFERROR(IF(Table1[[#This Row],[Type]]="IN",Table1[[#This Row],[RC Date]]-Table1[[#This Row],[Posting Date]],""),"")</f>
        <v>41</v>
      </c>
      <c r="N670">
        <f>IFERROR(IF(Table1[[#This Row],[Balance Due (LC)]]&lt;&gt;0,$S$1-L670,0),"")</f>
        <v>0</v>
      </c>
      <c r="O670">
        <f>IFERROR(IF(Table1[[#This Row],[Type]]="IN",Table1[[#This Row],[C/D (LC)]],IF(Table1[[#This Row],[Type]]="CN",Table1[[#This Row],[C/D (LC)]],"")),"")</f>
        <v>7059.75</v>
      </c>
      <c r="P670" t="str">
        <f>VLOOKUP(Table1[[#This Row],[Cust '#]],ClientInfo!$A:$B,2,0)</f>
        <v>Client_08</v>
      </c>
    </row>
    <row r="671" spans="1:16">
      <c r="A671" t="s">
        <v>114</v>
      </c>
      <c r="B671" t="s">
        <v>10</v>
      </c>
      <c r="C671">
        <v>700000082</v>
      </c>
      <c r="D671" s="1">
        <v>45355</v>
      </c>
      <c r="E671">
        <v>-47091.85</v>
      </c>
      <c r="F671">
        <v>0</v>
      </c>
      <c r="G671">
        <v>700000082</v>
      </c>
      <c r="H671" s="1">
        <v>45355</v>
      </c>
      <c r="I671">
        <f>YEAR(Table1[[#This Row],[Posting Date]])</f>
        <v>2024</v>
      </c>
      <c r="J671">
        <f>MONTH(Table1[[#This Row],[Posting Date]])</f>
        <v>3</v>
      </c>
      <c r="K671" t="str">
        <f>IF(Table1[[#This Row],[Type]]="IN",VLOOKUP(Table1[[#This Row],[Cust '#]],ClientInfo!$A:$D,4,0),"")</f>
        <v/>
      </c>
      <c r="L671" s="1" t="str">
        <f>IF(K671="NET30",Table1[[#This Row],[Posting Date]]+30,IF(K671="NET15",Table1[[#This Row],[Posting Date]]+15,IF(K671="COD",Table1[[#This Row],[Posting Date]],"")))</f>
        <v/>
      </c>
      <c r="M671" s="4" t="str">
        <f>IFERROR(IF(Table1[[#This Row],[Type]]="IN",Table1[[#This Row],[RC Date]]-Table1[[#This Row],[Posting Date]],""),"")</f>
        <v/>
      </c>
      <c r="N671">
        <f>IFERROR(IF(Table1[[#This Row],[Balance Due (LC)]]&lt;&gt;0,$S$1-L671,0),"")</f>
        <v>0</v>
      </c>
      <c r="O671" t="str">
        <f>IFERROR(IF(Table1[[#This Row],[Type]]="IN",Table1[[#This Row],[C/D (LC)]],IF(Table1[[#This Row],[Type]]="CN",Table1[[#This Row],[C/D (LC)]],"")),"")</f>
        <v/>
      </c>
      <c r="P671" t="str">
        <f>VLOOKUP(Table1[[#This Row],[Cust '#]],ClientInfo!$A:$B,2,0)</f>
        <v>Client_08</v>
      </c>
    </row>
    <row r="672" spans="1:16">
      <c r="A672" t="s">
        <v>114</v>
      </c>
      <c r="B672" t="s">
        <v>12</v>
      </c>
      <c r="C672">
        <v>140004508</v>
      </c>
      <c r="D672" s="1">
        <v>45356</v>
      </c>
      <c r="E672">
        <v>4618.55</v>
      </c>
      <c r="F672">
        <v>0</v>
      </c>
      <c r="G672">
        <v>700000570</v>
      </c>
      <c r="H672" s="1">
        <v>45418</v>
      </c>
      <c r="I672">
        <f>YEAR(Table1[[#This Row],[Posting Date]])</f>
        <v>2024</v>
      </c>
      <c r="J672">
        <f>MONTH(Table1[[#This Row],[Posting Date]])</f>
        <v>3</v>
      </c>
      <c r="K672" t="str">
        <f>IF(Table1[[#This Row],[Type]]="IN",VLOOKUP(Table1[[#This Row],[Cust '#]],ClientInfo!$A:$D,4,0),"")</f>
        <v>NET30</v>
      </c>
      <c r="L672" s="1">
        <f>IF(K672="NET30",Table1[[#This Row],[Posting Date]]+30,IF(K672="NET15",Table1[[#This Row],[Posting Date]]+15,IF(K672="COD",Table1[[#This Row],[Posting Date]],"")))</f>
        <v>45386</v>
      </c>
      <c r="M672" s="4">
        <f>IFERROR(IF(Table1[[#This Row],[Type]]="IN",Table1[[#This Row],[RC Date]]-Table1[[#This Row],[Posting Date]],""),"")</f>
        <v>62</v>
      </c>
      <c r="N672">
        <f>IFERROR(IF(Table1[[#This Row],[Balance Due (LC)]]&lt;&gt;0,$S$1-L672,0),"")</f>
        <v>0</v>
      </c>
      <c r="O672">
        <f>IFERROR(IF(Table1[[#This Row],[Type]]="IN",Table1[[#This Row],[C/D (LC)]],IF(Table1[[#This Row],[Type]]="CN",Table1[[#This Row],[C/D (LC)]],"")),"")</f>
        <v>4618.55</v>
      </c>
      <c r="P672" t="str">
        <f>VLOOKUP(Table1[[#This Row],[Cust '#]],ClientInfo!$A:$B,2,0)</f>
        <v>Client_08</v>
      </c>
    </row>
    <row r="673" spans="1:16">
      <c r="A673" t="s">
        <v>114</v>
      </c>
      <c r="B673" t="s">
        <v>12</v>
      </c>
      <c r="C673">
        <v>140004514</v>
      </c>
      <c r="D673" s="1">
        <v>45356</v>
      </c>
      <c r="E673">
        <v>2158.5</v>
      </c>
      <c r="F673">
        <v>0</v>
      </c>
      <c r="G673">
        <v>700000570</v>
      </c>
      <c r="H673" s="1">
        <v>45418</v>
      </c>
      <c r="I673">
        <f>YEAR(Table1[[#This Row],[Posting Date]])</f>
        <v>2024</v>
      </c>
      <c r="J673">
        <f>MONTH(Table1[[#This Row],[Posting Date]])</f>
        <v>3</v>
      </c>
      <c r="K673" t="str">
        <f>IF(Table1[[#This Row],[Type]]="IN",VLOOKUP(Table1[[#This Row],[Cust '#]],ClientInfo!$A:$D,4,0),"")</f>
        <v>NET30</v>
      </c>
      <c r="L673" s="1">
        <f>IF(K673="NET30",Table1[[#This Row],[Posting Date]]+30,IF(K673="NET15",Table1[[#This Row],[Posting Date]]+15,IF(K673="COD",Table1[[#This Row],[Posting Date]],"")))</f>
        <v>45386</v>
      </c>
      <c r="M673" s="4">
        <f>IFERROR(IF(Table1[[#This Row],[Type]]="IN",Table1[[#This Row],[RC Date]]-Table1[[#This Row],[Posting Date]],""),"")</f>
        <v>62</v>
      </c>
      <c r="N673">
        <f>IFERROR(IF(Table1[[#This Row],[Balance Due (LC)]]&lt;&gt;0,$S$1-L673,0),"")</f>
        <v>0</v>
      </c>
      <c r="O673">
        <f>IFERROR(IF(Table1[[#This Row],[Type]]="IN",Table1[[#This Row],[C/D (LC)]],IF(Table1[[#This Row],[Type]]="CN",Table1[[#This Row],[C/D (LC)]],"")),"")</f>
        <v>2158.5</v>
      </c>
      <c r="P673" t="str">
        <f>VLOOKUP(Table1[[#This Row],[Cust '#]],ClientInfo!$A:$B,2,0)</f>
        <v>Client_08</v>
      </c>
    </row>
    <row r="674" spans="1:16">
      <c r="A674" t="s">
        <v>114</v>
      </c>
      <c r="B674" t="s">
        <v>12</v>
      </c>
      <c r="C674">
        <v>140004889</v>
      </c>
      <c r="D674" s="1">
        <v>45363</v>
      </c>
      <c r="E674">
        <v>8695</v>
      </c>
      <c r="F674">
        <v>0</v>
      </c>
      <c r="G674">
        <v>700000570</v>
      </c>
      <c r="H674" s="1">
        <v>45418</v>
      </c>
      <c r="I674">
        <f>YEAR(Table1[[#This Row],[Posting Date]])</f>
        <v>2024</v>
      </c>
      <c r="J674">
        <f>MONTH(Table1[[#This Row],[Posting Date]])</f>
        <v>3</v>
      </c>
      <c r="K674" t="str">
        <f>IF(Table1[[#This Row],[Type]]="IN",VLOOKUP(Table1[[#This Row],[Cust '#]],ClientInfo!$A:$D,4,0),"")</f>
        <v>NET30</v>
      </c>
      <c r="L674" s="1">
        <f>IF(K674="NET30",Table1[[#This Row],[Posting Date]]+30,IF(K674="NET15",Table1[[#This Row],[Posting Date]]+15,IF(K674="COD",Table1[[#This Row],[Posting Date]],"")))</f>
        <v>45393</v>
      </c>
      <c r="M674" s="4">
        <f>IFERROR(IF(Table1[[#This Row],[Type]]="IN",Table1[[#This Row],[RC Date]]-Table1[[#This Row],[Posting Date]],""),"")</f>
        <v>55</v>
      </c>
      <c r="N674">
        <f>IFERROR(IF(Table1[[#This Row],[Balance Due (LC)]]&lt;&gt;0,$S$1-L674,0),"")</f>
        <v>0</v>
      </c>
      <c r="O674">
        <f>IFERROR(IF(Table1[[#This Row],[Type]]="IN",Table1[[#This Row],[C/D (LC)]],IF(Table1[[#This Row],[Type]]="CN",Table1[[#This Row],[C/D (LC)]],"")),"")</f>
        <v>8695</v>
      </c>
      <c r="P674" t="str">
        <f>VLOOKUP(Table1[[#This Row],[Cust '#]],ClientInfo!$A:$B,2,0)</f>
        <v>Client_08</v>
      </c>
    </row>
    <row r="675" spans="1:16">
      <c r="A675" t="s">
        <v>114</v>
      </c>
      <c r="B675" t="s">
        <v>12</v>
      </c>
      <c r="C675">
        <v>140005190</v>
      </c>
      <c r="D675" s="1">
        <v>45370</v>
      </c>
      <c r="E675">
        <v>7514.7</v>
      </c>
      <c r="F675">
        <v>0</v>
      </c>
      <c r="G675">
        <v>700000570</v>
      </c>
      <c r="H675" s="1">
        <v>45418</v>
      </c>
      <c r="I675">
        <f>YEAR(Table1[[#This Row],[Posting Date]])</f>
        <v>2024</v>
      </c>
      <c r="J675">
        <f>MONTH(Table1[[#This Row],[Posting Date]])</f>
        <v>3</v>
      </c>
      <c r="K675" t="str">
        <f>IF(Table1[[#This Row],[Type]]="IN",VLOOKUP(Table1[[#This Row],[Cust '#]],ClientInfo!$A:$D,4,0),"")</f>
        <v>NET30</v>
      </c>
      <c r="L675" s="1">
        <f>IF(K675="NET30",Table1[[#This Row],[Posting Date]]+30,IF(K675="NET15",Table1[[#This Row],[Posting Date]]+15,IF(K675="COD",Table1[[#This Row],[Posting Date]],"")))</f>
        <v>45400</v>
      </c>
      <c r="M675" s="4">
        <f>IFERROR(IF(Table1[[#This Row],[Type]]="IN",Table1[[#This Row],[RC Date]]-Table1[[#This Row],[Posting Date]],""),"")</f>
        <v>48</v>
      </c>
      <c r="N675">
        <f>IFERROR(IF(Table1[[#This Row],[Balance Due (LC)]]&lt;&gt;0,$S$1-L675,0),"")</f>
        <v>0</v>
      </c>
      <c r="O675">
        <f>IFERROR(IF(Table1[[#This Row],[Type]]="IN",Table1[[#This Row],[C/D (LC)]],IF(Table1[[#This Row],[Type]]="CN",Table1[[#This Row],[C/D (LC)]],"")),"")</f>
        <v>7514.7</v>
      </c>
      <c r="P675" t="str">
        <f>VLOOKUP(Table1[[#This Row],[Cust '#]],ClientInfo!$A:$B,2,0)</f>
        <v>Client_08</v>
      </c>
    </row>
    <row r="676" spans="1:16">
      <c r="A676" t="s">
        <v>114</v>
      </c>
      <c r="B676" t="s">
        <v>13</v>
      </c>
      <c r="C676">
        <v>150000203</v>
      </c>
      <c r="D676" s="1">
        <v>45370</v>
      </c>
      <c r="E676">
        <v>-152</v>
      </c>
      <c r="F676">
        <v>0</v>
      </c>
      <c r="G676">
        <v>700000360</v>
      </c>
      <c r="H676" s="1">
        <v>45390</v>
      </c>
      <c r="I676">
        <f>YEAR(Table1[[#This Row],[Posting Date]])</f>
        <v>2024</v>
      </c>
      <c r="J676">
        <f>MONTH(Table1[[#This Row],[Posting Date]])</f>
        <v>3</v>
      </c>
      <c r="K676" t="str">
        <f>IF(Table1[[#This Row],[Type]]="IN",VLOOKUP(Table1[[#This Row],[Cust '#]],ClientInfo!$A:$D,4,0),"")</f>
        <v/>
      </c>
      <c r="L676" s="1" t="str">
        <f>IF(K676="NET30",Table1[[#This Row],[Posting Date]]+30,IF(K676="NET15",Table1[[#This Row],[Posting Date]]+15,IF(K676="COD",Table1[[#This Row],[Posting Date]],"")))</f>
        <v/>
      </c>
      <c r="M676" s="4" t="str">
        <f>IFERROR(IF(Table1[[#This Row],[Type]]="IN",Table1[[#This Row],[RC Date]]-Table1[[#This Row],[Posting Date]],""),"")</f>
        <v/>
      </c>
      <c r="N676">
        <f>IFERROR(IF(Table1[[#This Row],[Balance Due (LC)]]&lt;&gt;0,$S$1-L676,0),"")</f>
        <v>0</v>
      </c>
      <c r="O676">
        <f>IFERROR(IF(Table1[[#This Row],[Type]]="IN",Table1[[#This Row],[C/D (LC)]],IF(Table1[[#This Row],[Type]]="CN",Table1[[#This Row],[C/D (LC)]],"")),"")</f>
        <v>-152</v>
      </c>
      <c r="P676" t="str">
        <f>VLOOKUP(Table1[[#This Row],[Cust '#]],ClientInfo!$A:$B,2,0)</f>
        <v>Client_08</v>
      </c>
    </row>
    <row r="677" spans="1:16">
      <c r="A677" t="s">
        <v>114</v>
      </c>
      <c r="B677" t="s">
        <v>13</v>
      </c>
      <c r="C677">
        <v>150000204</v>
      </c>
      <c r="D677" s="1">
        <v>45370</v>
      </c>
      <c r="E677">
        <v>-120</v>
      </c>
      <c r="F677">
        <v>0</v>
      </c>
      <c r="G677">
        <v>700000360</v>
      </c>
      <c r="H677" s="1">
        <v>45390</v>
      </c>
      <c r="I677">
        <f>YEAR(Table1[[#This Row],[Posting Date]])</f>
        <v>2024</v>
      </c>
      <c r="J677">
        <f>MONTH(Table1[[#This Row],[Posting Date]])</f>
        <v>3</v>
      </c>
      <c r="K677" t="str">
        <f>IF(Table1[[#This Row],[Type]]="IN",VLOOKUP(Table1[[#This Row],[Cust '#]],ClientInfo!$A:$D,4,0),"")</f>
        <v/>
      </c>
      <c r="L677" s="1" t="str">
        <f>IF(K677="NET30",Table1[[#This Row],[Posting Date]]+30,IF(K677="NET15",Table1[[#This Row],[Posting Date]]+15,IF(K677="COD",Table1[[#This Row],[Posting Date]],"")))</f>
        <v/>
      </c>
      <c r="M677" s="4" t="str">
        <f>IFERROR(IF(Table1[[#This Row],[Type]]="IN",Table1[[#This Row],[RC Date]]-Table1[[#This Row],[Posting Date]],""),"")</f>
        <v/>
      </c>
      <c r="N677">
        <f>IFERROR(IF(Table1[[#This Row],[Balance Due (LC)]]&lt;&gt;0,$S$1-L677,0),"")</f>
        <v>0</v>
      </c>
      <c r="O677">
        <f>IFERROR(IF(Table1[[#This Row],[Type]]="IN",Table1[[#This Row],[C/D (LC)]],IF(Table1[[#This Row],[Type]]="CN",Table1[[#This Row],[C/D (LC)]],"")),"")</f>
        <v>-120</v>
      </c>
      <c r="P677" t="str">
        <f>VLOOKUP(Table1[[#This Row],[Cust '#]],ClientInfo!$A:$B,2,0)</f>
        <v>Client_08</v>
      </c>
    </row>
    <row r="678" spans="1:16">
      <c r="A678" t="s">
        <v>114</v>
      </c>
      <c r="B678" t="s">
        <v>12</v>
      </c>
      <c r="C678">
        <v>140005521</v>
      </c>
      <c r="D678" s="1">
        <v>45377</v>
      </c>
      <c r="E678">
        <v>7305.1</v>
      </c>
      <c r="F678">
        <v>0</v>
      </c>
      <c r="G678">
        <v>700000570</v>
      </c>
      <c r="H678" s="1">
        <v>45418</v>
      </c>
      <c r="I678">
        <f>YEAR(Table1[[#This Row],[Posting Date]])</f>
        <v>2024</v>
      </c>
      <c r="J678">
        <f>MONTH(Table1[[#This Row],[Posting Date]])</f>
        <v>3</v>
      </c>
      <c r="K678" t="str">
        <f>IF(Table1[[#This Row],[Type]]="IN",VLOOKUP(Table1[[#This Row],[Cust '#]],ClientInfo!$A:$D,4,0),"")</f>
        <v>NET30</v>
      </c>
      <c r="L678" s="1">
        <f>IF(K678="NET30",Table1[[#This Row],[Posting Date]]+30,IF(K678="NET15",Table1[[#This Row],[Posting Date]]+15,IF(K678="COD",Table1[[#This Row],[Posting Date]],"")))</f>
        <v>45407</v>
      </c>
      <c r="M678" s="4">
        <f>IFERROR(IF(Table1[[#This Row],[Type]]="IN",Table1[[#This Row],[RC Date]]-Table1[[#This Row],[Posting Date]],""),"")</f>
        <v>41</v>
      </c>
      <c r="N678">
        <f>IFERROR(IF(Table1[[#This Row],[Balance Due (LC)]]&lt;&gt;0,$S$1-L678,0),"")</f>
        <v>0</v>
      </c>
      <c r="O678">
        <f>IFERROR(IF(Table1[[#This Row],[Type]]="IN",Table1[[#This Row],[C/D (LC)]],IF(Table1[[#This Row],[Type]]="CN",Table1[[#This Row],[C/D (LC)]],"")),"")</f>
        <v>7305.1</v>
      </c>
      <c r="P678" t="str">
        <f>VLOOKUP(Table1[[#This Row],[Cust '#]],ClientInfo!$A:$B,2,0)</f>
        <v>Client_08</v>
      </c>
    </row>
    <row r="679" spans="1:16">
      <c r="A679" t="s">
        <v>114</v>
      </c>
      <c r="B679" t="s">
        <v>13</v>
      </c>
      <c r="C679">
        <v>150000240</v>
      </c>
      <c r="D679" s="1">
        <v>45380</v>
      </c>
      <c r="E679">
        <v>-169.2</v>
      </c>
      <c r="F679">
        <v>0</v>
      </c>
      <c r="G679">
        <v>700000570</v>
      </c>
      <c r="H679" s="1">
        <v>45418</v>
      </c>
      <c r="I679">
        <f>YEAR(Table1[[#This Row],[Posting Date]])</f>
        <v>2024</v>
      </c>
      <c r="J679">
        <f>MONTH(Table1[[#This Row],[Posting Date]])</f>
        <v>3</v>
      </c>
      <c r="K679" t="str">
        <f>IF(Table1[[#This Row],[Type]]="IN",VLOOKUP(Table1[[#This Row],[Cust '#]],ClientInfo!$A:$D,4,0),"")</f>
        <v/>
      </c>
      <c r="L679" s="1" t="str">
        <f>IF(K679="NET30",Table1[[#This Row],[Posting Date]]+30,IF(K679="NET15",Table1[[#This Row],[Posting Date]]+15,IF(K679="COD",Table1[[#This Row],[Posting Date]],"")))</f>
        <v/>
      </c>
      <c r="M679" s="4" t="str">
        <f>IFERROR(IF(Table1[[#This Row],[Type]]="IN",Table1[[#This Row],[RC Date]]-Table1[[#This Row],[Posting Date]],""),"")</f>
        <v/>
      </c>
      <c r="N679">
        <f>IFERROR(IF(Table1[[#This Row],[Balance Due (LC)]]&lt;&gt;0,$S$1-L679,0),"")</f>
        <v>0</v>
      </c>
      <c r="O679">
        <f>IFERROR(IF(Table1[[#This Row],[Type]]="IN",Table1[[#This Row],[C/D (LC)]],IF(Table1[[#This Row],[Type]]="CN",Table1[[#This Row],[C/D (LC)]],"")),"")</f>
        <v>-169.2</v>
      </c>
      <c r="P679" t="str">
        <f>VLOOKUP(Table1[[#This Row],[Cust '#]],ClientInfo!$A:$B,2,0)</f>
        <v>Client_08</v>
      </c>
    </row>
    <row r="680" spans="1:16">
      <c r="A680" t="s">
        <v>114</v>
      </c>
      <c r="B680" t="s">
        <v>12</v>
      </c>
      <c r="C680">
        <v>140005848</v>
      </c>
      <c r="D680" s="1">
        <v>45384</v>
      </c>
      <c r="E680">
        <v>5196.3999999999996</v>
      </c>
      <c r="F680">
        <v>0</v>
      </c>
      <c r="G680">
        <v>700000784</v>
      </c>
      <c r="H680" s="1">
        <v>45446</v>
      </c>
      <c r="I680">
        <f>YEAR(Table1[[#This Row],[Posting Date]])</f>
        <v>2024</v>
      </c>
      <c r="J680">
        <f>MONTH(Table1[[#This Row],[Posting Date]])</f>
        <v>4</v>
      </c>
      <c r="K680" t="str">
        <f>IF(Table1[[#This Row],[Type]]="IN",VLOOKUP(Table1[[#This Row],[Cust '#]],ClientInfo!$A:$D,4,0),"")</f>
        <v>NET30</v>
      </c>
      <c r="L680" s="1">
        <f>IF(K680="NET30",Table1[[#This Row],[Posting Date]]+30,IF(K680="NET15",Table1[[#This Row],[Posting Date]]+15,IF(K680="COD",Table1[[#This Row],[Posting Date]],"")))</f>
        <v>45414</v>
      </c>
      <c r="M680" s="4">
        <f>IFERROR(IF(Table1[[#This Row],[Type]]="IN",Table1[[#This Row],[RC Date]]-Table1[[#This Row],[Posting Date]],""),"")</f>
        <v>62</v>
      </c>
      <c r="N680">
        <f>IFERROR(IF(Table1[[#This Row],[Balance Due (LC)]]&lt;&gt;0,$S$1-L680,0),"")</f>
        <v>0</v>
      </c>
      <c r="O680">
        <f>IFERROR(IF(Table1[[#This Row],[Type]]="IN",Table1[[#This Row],[C/D (LC)]],IF(Table1[[#This Row],[Type]]="CN",Table1[[#This Row],[C/D (LC)]],"")),"")</f>
        <v>5196.3999999999996</v>
      </c>
      <c r="P680" t="str">
        <f>VLOOKUP(Table1[[#This Row],[Cust '#]],ClientInfo!$A:$B,2,0)</f>
        <v>Client_08</v>
      </c>
    </row>
    <row r="681" spans="1:16">
      <c r="A681" t="s">
        <v>114</v>
      </c>
      <c r="B681" t="s">
        <v>13</v>
      </c>
      <c r="C681">
        <v>150000253</v>
      </c>
      <c r="D681" s="1">
        <v>45387</v>
      </c>
      <c r="E681">
        <v>-132</v>
      </c>
      <c r="F681">
        <v>0</v>
      </c>
      <c r="G681">
        <v>700000570</v>
      </c>
      <c r="H681" s="1">
        <v>45418</v>
      </c>
      <c r="I681">
        <f>YEAR(Table1[[#This Row],[Posting Date]])</f>
        <v>2024</v>
      </c>
      <c r="J681">
        <f>MONTH(Table1[[#This Row],[Posting Date]])</f>
        <v>4</v>
      </c>
      <c r="K681" t="str">
        <f>IF(Table1[[#This Row],[Type]]="IN",VLOOKUP(Table1[[#This Row],[Cust '#]],ClientInfo!$A:$D,4,0),"")</f>
        <v/>
      </c>
      <c r="L681" s="1" t="str">
        <f>IF(K681="NET30",Table1[[#This Row],[Posting Date]]+30,IF(K681="NET15",Table1[[#This Row],[Posting Date]]+15,IF(K681="COD",Table1[[#This Row],[Posting Date]],"")))</f>
        <v/>
      </c>
      <c r="M681" s="4" t="str">
        <f>IFERROR(IF(Table1[[#This Row],[Type]]="IN",Table1[[#This Row],[RC Date]]-Table1[[#This Row],[Posting Date]],""),"")</f>
        <v/>
      </c>
      <c r="N681">
        <f>IFERROR(IF(Table1[[#This Row],[Balance Due (LC)]]&lt;&gt;0,$S$1-L681,0),"")</f>
        <v>0</v>
      </c>
      <c r="O681">
        <f>IFERROR(IF(Table1[[#This Row],[Type]]="IN",Table1[[#This Row],[C/D (LC)]],IF(Table1[[#This Row],[Type]]="CN",Table1[[#This Row],[C/D (LC)]],"")),"")</f>
        <v>-132</v>
      </c>
      <c r="P681" t="str">
        <f>VLOOKUP(Table1[[#This Row],[Cust '#]],ClientInfo!$A:$B,2,0)</f>
        <v>Client_08</v>
      </c>
    </row>
    <row r="682" spans="1:16">
      <c r="A682" t="s">
        <v>114</v>
      </c>
      <c r="B682" t="s">
        <v>10</v>
      </c>
      <c r="C682">
        <v>700000360</v>
      </c>
      <c r="D682" s="1">
        <v>45390</v>
      </c>
      <c r="E682">
        <v>-37361.050000000003</v>
      </c>
      <c r="F682">
        <v>0</v>
      </c>
      <c r="G682">
        <v>700000360</v>
      </c>
      <c r="H682" s="1">
        <v>45390</v>
      </c>
      <c r="I682">
        <f>YEAR(Table1[[#This Row],[Posting Date]])</f>
        <v>2024</v>
      </c>
      <c r="J682">
        <f>MONTH(Table1[[#This Row],[Posting Date]])</f>
        <v>4</v>
      </c>
      <c r="K682" t="str">
        <f>IF(Table1[[#This Row],[Type]]="IN",VLOOKUP(Table1[[#This Row],[Cust '#]],ClientInfo!$A:$D,4,0),"")</f>
        <v/>
      </c>
      <c r="L682" s="1" t="str">
        <f>IF(K682="NET30",Table1[[#This Row],[Posting Date]]+30,IF(K682="NET15",Table1[[#This Row],[Posting Date]]+15,IF(K682="COD",Table1[[#This Row],[Posting Date]],"")))</f>
        <v/>
      </c>
      <c r="M682" s="4" t="str">
        <f>IFERROR(IF(Table1[[#This Row],[Type]]="IN",Table1[[#This Row],[RC Date]]-Table1[[#This Row],[Posting Date]],""),"")</f>
        <v/>
      </c>
      <c r="N682">
        <f>IFERROR(IF(Table1[[#This Row],[Balance Due (LC)]]&lt;&gt;0,$S$1-L682,0),"")</f>
        <v>0</v>
      </c>
      <c r="O682" t="str">
        <f>IFERROR(IF(Table1[[#This Row],[Type]]="IN",Table1[[#This Row],[C/D (LC)]],IF(Table1[[#This Row],[Type]]="CN",Table1[[#This Row],[C/D (LC)]],"")),"")</f>
        <v/>
      </c>
      <c r="P682" t="str">
        <f>VLOOKUP(Table1[[#This Row],[Cust '#]],ClientInfo!$A:$B,2,0)</f>
        <v>Client_08</v>
      </c>
    </row>
    <row r="683" spans="1:16">
      <c r="A683" t="s">
        <v>114</v>
      </c>
      <c r="B683" t="s">
        <v>12</v>
      </c>
      <c r="C683">
        <v>140006149</v>
      </c>
      <c r="D683" s="1">
        <v>45391</v>
      </c>
      <c r="E683">
        <v>6177.6</v>
      </c>
      <c r="F683">
        <v>0</v>
      </c>
      <c r="G683">
        <v>700000784</v>
      </c>
      <c r="H683" s="1">
        <v>45446</v>
      </c>
      <c r="I683">
        <f>YEAR(Table1[[#This Row],[Posting Date]])</f>
        <v>2024</v>
      </c>
      <c r="J683">
        <f>MONTH(Table1[[#This Row],[Posting Date]])</f>
        <v>4</v>
      </c>
      <c r="K683" t="str">
        <f>IF(Table1[[#This Row],[Type]]="IN",VLOOKUP(Table1[[#This Row],[Cust '#]],ClientInfo!$A:$D,4,0),"")</f>
        <v>NET30</v>
      </c>
      <c r="L683" s="1">
        <f>IF(K683="NET30",Table1[[#This Row],[Posting Date]]+30,IF(K683="NET15",Table1[[#This Row],[Posting Date]]+15,IF(K683="COD",Table1[[#This Row],[Posting Date]],"")))</f>
        <v>45421</v>
      </c>
      <c r="M683" s="4">
        <f>IFERROR(IF(Table1[[#This Row],[Type]]="IN",Table1[[#This Row],[RC Date]]-Table1[[#This Row],[Posting Date]],""),"")</f>
        <v>55</v>
      </c>
      <c r="N683">
        <f>IFERROR(IF(Table1[[#This Row],[Balance Due (LC)]]&lt;&gt;0,$S$1-L683,0),"")</f>
        <v>0</v>
      </c>
      <c r="O683">
        <f>IFERROR(IF(Table1[[#This Row],[Type]]="IN",Table1[[#This Row],[C/D (LC)]],IF(Table1[[#This Row],[Type]]="CN",Table1[[#This Row],[C/D (LC)]],"")),"")</f>
        <v>6177.6</v>
      </c>
      <c r="P683" t="str">
        <f>VLOOKUP(Table1[[#This Row],[Cust '#]],ClientInfo!$A:$B,2,0)</f>
        <v>Client_08</v>
      </c>
    </row>
    <row r="684" spans="1:16">
      <c r="A684" t="s">
        <v>114</v>
      </c>
      <c r="B684" t="s">
        <v>12</v>
      </c>
      <c r="C684">
        <v>140006167</v>
      </c>
      <c r="D684" s="1">
        <v>45391</v>
      </c>
      <c r="E684">
        <v>624.85</v>
      </c>
      <c r="F684">
        <v>0</v>
      </c>
      <c r="G684">
        <v>700000784</v>
      </c>
      <c r="H684" s="1">
        <v>45446</v>
      </c>
      <c r="I684">
        <f>YEAR(Table1[[#This Row],[Posting Date]])</f>
        <v>2024</v>
      </c>
      <c r="J684">
        <f>MONTH(Table1[[#This Row],[Posting Date]])</f>
        <v>4</v>
      </c>
      <c r="K684" t="str">
        <f>IF(Table1[[#This Row],[Type]]="IN",VLOOKUP(Table1[[#This Row],[Cust '#]],ClientInfo!$A:$D,4,0),"")</f>
        <v>NET30</v>
      </c>
      <c r="L684" s="1">
        <f>IF(K684="NET30",Table1[[#This Row],[Posting Date]]+30,IF(K684="NET15",Table1[[#This Row],[Posting Date]]+15,IF(K684="COD",Table1[[#This Row],[Posting Date]],"")))</f>
        <v>45421</v>
      </c>
      <c r="M684" s="4">
        <f>IFERROR(IF(Table1[[#This Row],[Type]]="IN",Table1[[#This Row],[RC Date]]-Table1[[#This Row],[Posting Date]],""),"")</f>
        <v>55</v>
      </c>
      <c r="N684">
        <f>IFERROR(IF(Table1[[#This Row],[Balance Due (LC)]]&lt;&gt;0,$S$1-L684,0),"")</f>
        <v>0</v>
      </c>
      <c r="O684">
        <f>IFERROR(IF(Table1[[#This Row],[Type]]="IN",Table1[[#This Row],[C/D (LC)]],IF(Table1[[#This Row],[Type]]="CN",Table1[[#This Row],[C/D (LC)]],"")),"")</f>
        <v>624.85</v>
      </c>
      <c r="P684" t="str">
        <f>VLOOKUP(Table1[[#This Row],[Cust '#]],ClientInfo!$A:$B,2,0)</f>
        <v>Client_08</v>
      </c>
    </row>
    <row r="685" spans="1:16">
      <c r="A685" t="s">
        <v>114</v>
      </c>
      <c r="B685" t="s">
        <v>12</v>
      </c>
      <c r="C685">
        <v>140006484</v>
      </c>
      <c r="D685" s="1">
        <v>45398</v>
      </c>
      <c r="E685">
        <v>6937.1</v>
      </c>
      <c r="F685">
        <v>0</v>
      </c>
      <c r="G685">
        <v>700000784</v>
      </c>
      <c r="H685" s="1">
        <v>45446</v>
      </c>
      <c r="I685">
        <f>YEAR(Table1[[#This Row],[Posting Date]])</f>
        <v>2024</v>
      </c>
      <c r="J685">
        <f>MONTH(Table1[[#This Row],[Posting Date]])</f>
        <v>4</v>
      </c>
      <c r="K685" t="str">
        <f>IF(Table1[[#This Row],[Type]]="IN",VLOOKUP(Table1[[#This Row],[Cust '#]],ClientInfo!$A:$D,4,0),"")</f>
        <v>NET30</v>
      </c>
      <c r="L685" s="1">
        <f>IF(K685="NET30",Table1[[#This Row],[Posting Date]]+30,IF(K685="NET15",Table1[[#This Row],[Posting Date]]+15,IF(K685="COD",Table1[[#This Row],[Posting Date]],"")))</f>
        <v>45428</v>
      </c>
      <c r="M685" s="4">
        <f>IFERROR(IF(Table1[[#This Row],[Type]]="IN",Table1[[#This Row],[RC Date]]-Table1[[#This Row],[Posting Date]],""),"")</f>
        <v>48</v>
      </c>
      <c r="N685">
        <f>IFERROR(IF(Table1[[#This Row],[Balance Due (LC)]]&lt;&gt;0,$S$1-L685,0),"")</f>
        <v>0</v>
      </c>
      <c r="O685">
        <f>IFERROR(IF(Table1[[#This Row],[Type]]="IN",Table1[[#This Row],[C/D (LC)]],IF(Table1[[#This Row],[Type]]="CN",Table1[[#This Row],[C/D (LC)]],"")),"")</f>
        <v>6937.1</v>
      </c>
      <c r="P685" t="str">
        <f>VLOOKUP(Table1[[#This Row],[Cust '#]],ClientInfo!$A:$B,2,0)</f>
        <v>Client_08</v>
      </c>
    </row>
    <row r="686" spans="1:16">
      <c r="A686" t="s">
        <v>114</v>
      </c>
      <c r="B686" t="s">
        <v>13</v>
      </c>
      <c r="C686">
        <v>150000273</v>
      </c>
      <c r="D686" s="1">
        <v>45401</v>
      </c>
      <c r="E686">
        <v>-12.8</v>
      </c>
      <c r="F686">
        <v>0</v>
      </c>
      <c r="G686">
        <v>700000570</v>
      </c>
      <c r="H686" s="1">
        <v>45418</v>
      </c>
      <c r="I686">
        <f>YEAR(Table1[[#This Row],[Posting Date]])</f>
        <v>2024</v>
      </c>
      <c r="J686">
        <f>MONTH(Table1[[#This Row],[Posting Date]])</f>
        <v>4</v>
      </c>
      <c r="K686" t="str">
        <f>IF(Table1[[#This Row],[Type]]="IN",VLOOKUP(Table1[[#This Row],[Cust '#]],ClientInfo!$A:$D,4,0),"")</f>
        <v/>
      </c>
      <c r="L686" s="1" t="str">
        <f>IF(K686="NET30",Table1[[#This Row],[Posting Date]]+30,IF(K686="NET15",Table1[[#This Row],[Posting Date]]+15,IF(K686="COD",Table1[[#This Row],[Posting Date]],"")))</f>
        <v/>
      </c>
      <c r="M686" s="4" t="str">
        <f>IFERROR(IF(Table1[[#This Row],[Type]]="IN",Table1[[#This Row],[RC Date]]-Table1[[#This Row],[Posting Date]],""),"")</f>
        <v/>
      </c>
      <c r="N686">
        <f>IFERROR(IF(Table1[[#This Row],[Balance Due (LC)]]&lt;&gt;0,$S$1-L686,0),"")</f>
        <v>0</v>
      </c>
      <c r="O686">
        <f>IFERROR(IF(Table1[[#This Row],[Type]]="IN",Table1[[#This Row],[C/D (LC)]],IF(Table1[[#This Row],[Type]]="CN",Table1[[#This Row],[C/D (LC)]],"")),"")</f>
        <v>-12.8</v>
      </c>
      <c r="P686" t="str">
        <f>VLOOKUP(Table1[[#This Row],[Cust '#]],ClientInfo!$A:$B,2,0)</f>
        <v>Client_08</v>
      </c>
    </row>
    <row r="687" spans="1:16">
      <c r="A687" t="s">
        <v>114</v>
      </c>
      <c r="B687" t="s">
        <v>12</v>
      </c>
      <c r="C687">
        <v>140006807</v>
      </c>
      <c r="D687" s="1">
        <v>45405</v>
      </c>
      <c r="E687">
        <v>8378.9</v>
      </c>
      <c r="F687">
        <v>0</v>
      </c>
      <c r="G687">
        <v>700000784</v>
      </c>
      <c r="H687" s="1">
        <v>45446</v>
      </c>
      <c r="I687">
        <f>YEAR(Table1[[#This Row],[Posting Date]])</f>
        <v>2024</v>
      </c>
      <c r="J687">
        <f>MONTH(Table1[[#This Row],[Posting Date]])</f>
        <v>4</v>
      </c>
      <c r="K687" t="str">
        <f>IF(Table1[[#This Row],[Type]]="IN",VLOOKUP(Table1[[#This Row],[Cust '#]],ClientInfo!$A:$D,4,0),"")</f>
        <v>NET30</v>
      </c>
      <c r="L687" s="1">
        <f>IF(K687="NET30",Table1[[#This Row],[Posting Date]]+30,IF(K687="NET15",Table1[[#This Row],[Posting Date]]+15,IF(K687="COD",Table1[[#This Row],[Posting Date]],"")))</f>
        <v>45435</v>
      </c>
      <c r="M687" s="4">
        <f>IFERROR(IF(Table1[[#This Row],[Type]]="IN",Table1[[#This Row],[RC Date]]-Table1[[#This Row],[Posting Date]],""),"")</f>
        <v>41</v>
      </c>
      <c r="N687">
        <f>IFERROR(IF(Table1[[#This Row],[Balance Due (LC)]]&lt;&gt;0,$S$1-L687,0),"")</f>
        <v>0</v>
      </c>
      <c r="O687">
        <f>IFERROR(IF(Table1[[#This Row],[Type]]="IN",Table1[[#This Row],[C/D (LC)]],IF(Table1[[#This Row],[Type]]="CN",Table1[[#This Row],[C/D (LC)]],"")),"")</f>
        <v>8378.9</v>
      </c>
      <c r="P687" t="str">
        <f>VLOOKUP(Table1[[#This Row],[Cust '#]],ClientInfo!$A:$B,2,0)</f>
        <v>Client_08</v>
      </c>
    </row>
    <row r="688" spans="1:16">
      <c r="A688" t="s">
        <v>114</v>
      </c>
      <c r="B688" t="s">
        <v>12</v>
      </c>
      <c r="C688">
        <v>140006969</v>
      </c>
      <c r="D688" s="1">
        <v>45407</v>
      </c>
      <c r="E688">
        <v>650</v>
      </c>
      <c r="F688">
        <v>0</v>
      </c>
      <c r="G688">
        <v>700000784</v>
      </c>
      <c r="H688" s="1">
        <v>45446</v>
      </c>
      <c r="I688">
        <f>YEAR(Table1[[#This Row],[Posting Date]])</f>
        <v>2024</v>
      </c>
      <c r="J688">
        <f>MONTH(Table1[[#This Row],[Posting Date]])</f>
        <v>4</v>
      </c>
      <c r="K688" t="str">
        <f>IF(Table1[[#This Row],[Type]]="IN",VLOOKUP(Table1[[#This Row],[Cust '#]],ClientInfo!$A:$D,4,0),"")</f>
        <v>NET30</v>
      </c>
      <c r="L688" s="1">
        <f>IF(K688="NET30",Table1[[#This Row],[Posting Date]]+30,IF(K688="NET15",Table1[[#This Row],[Posting Date]]+15,IF(K688="COD",Table1[[#This Row],[Posting Date]],"")))</f>
        <v>45437</v>
      </c>
      <c r="M688" s="4">
        <f>IFERROR(IF(Table1[[#This Row],[Type]]="IN",Table1[[#This Row],[RC Date]]-Table1[[#This Row],[Posting Date]],""),"")</f>
        <v>39</v>
      </c>
      <c r="N688">
        <f>IFERROR(IF(Table1[[#This Row],[Balance Due (LC)]]&lt;&gt;0,$S$1-L688,0),"")</f>
        <v>0</v>
      </c>
      <c r="O688">
        <f>IFERROR(IF(Table1[[#This Row],[Type]]="IN",Table1[[#This Row],[C/D (LC)]],IF(Table1[[#This Row],[Type]]="CN",Table1[[#This Row],[C/D (LC)]],"")),"")</f>
        <v>650</v>
      </c>
      <c r="P688" t="str">
        <f>VLOOKUP(Table1[[#This Row],[Cust '#]],ClientInfo!$A:$B,2,0)</f>
        <v>Client_08</v>
      </c>
    </row>
    <row r="689" spans="1:16">
      <c r="A689" t="s">
        <v>114</v>
      </c>
      <c r="B689" t="s">
        <v>13</v>
      </c>
      <c r="C689">
        <v>150000292</v>
      </c>
      <c r="D689" s="1">
        <v>45408</v>
      </c>
      <c r="E689">
        <v>-210</v>
      </c>
      <c r="F689">
        <v>0</v>
      </c>
      <c r="G689">
        <v>700000570</v>
      </c>
      <c r="H689" s="1">
        <v>45418</v>
      </c>
      <c r="I689">
        <f>YEAR(Table1[[#This Row],[Posting Date]])</f>
        <v>2024</v>
      </c>
      <c r="J689">
        <f>MONTH(Table1[[#This Row],[Posting Date]])</f>
        <v>4</v>
      </c>
      <c r="K689" t="str">
        <f>IF(Table1[[#This Row],[Type]]="IN",VLOOKUP(Table1[[#This Row],[Cust '#]],ClientInfo!$A:$D,4,0),"")</f>
        <v/>
      </c>
      <c r="L689" s="1" t="str">
        <f>IF(K689="NET30",Table1[[#This Row],[Posting Date]]+30,IF(K689="NET15",Table1[[#This Row],[Posting Date]]+15,IF(K689="COD",Table1[[#This Row],[Posting Date]],"")))</f>
        <v/>
      </c>
      <c r="M689" s="4" t="str">
        <f>IFERROR(IF(Table1[[#This Row],[Type]]="IN",Table1[[#This Row],[RC Date]]-Table1[[#This Row],[Posting Date]],""),"")</f>
        <v/>
      </c>
      <c r="N689">
        <f>IFERROR(IF(Table1[[#This Row],[Balance Due (LC)]]&lt;&gt;0,$S$1-L689,0),"")</f>
        <v>0</v>
      </c>
      <c r="O689">
        <f>IFERROR(IF(Table1[[#This Row],[Type]]="IN",Table1[[#This Row],[C/D (LC)]],IF(Table1[[#This Row],[Type]]="CN",Table1[[#This Row],[C/D (LC)]],"")),"")</f>
        <v>-210</v>
      </c>
      <c r="P689" t="str">
        <f>VLOOKUP(Table1[[#This Row],[Cust '#]],ClientInfo!$A:$B,2,0)</f>
        <v>Client_08</v>
      </c>
    </row>
    <row r="690" spans="1:16">
      <c r="A690" t="s">
        <v>114</v>
      </c>
      <c r="B690" t="s">
        <v>13</v>
      </c>
      <c r="C690">
        <v>150000293</v>
      </c>
      <c r="D690" s="1">
        <v>45408</v>
      </c>
      <c r="E690">
        <v>-44</v>
      </c>
      <c r="F690">
        <v>0</v>
      </c>
      <c r="G690">
        <v>700000570</v>
      </c>
      <c r="H690" s="1">
        <v>45418</v>
      </c>
      <c r="I690">
        <f>YEAR(Table1[[#This Row],[Posting Date]])</f>
        <v>2024</v>
      </c>
      <c r="J690">
        <f>MONTH(Table1[[#This Row],[Posting Date]])</f>
        <v>4</v>
      </c>
      <c r="K690" t="str">
        <f>IF(Table1[[#This Row],[Type]]="IN",VLOOKUP(Table1[[#This Row],[Cust '#]],ClientInfo!$A:$D,4,0),"")</f>
        <v/>
      </c>
      <c r="L690" s="1" t="str">
        <f>IF(K690="NET30",Table1[[#This Row],[Posting Date]]+30,IF(K690="NET15",Table1[[#This Row],[Posting Date]]+15,IF(K690="COD",Table1[[#This Row],[Posting Date]],"")))</f>
        <v/>
      </c>
      <c r="M690" s="4" t="str">
        <f>IFERROR(IF(Table1[[#This Row],[Type]]="IN",Table1[[#This Row],[RC Date]]-Table1[[#This Row],[Posting Date]],""),"")</f>
        <v/>
      </c>
      <c r="N690">
        <f>IFERROR(IF(Table1[[#This Row],[Balance Due (LC)]]&lt;&gt;0,$S$1-L690,0),"")</f>
        <v>0</v>
      </c>
      <c r="O690">
        <f>IFERROR(IF(Table1[[#This Row],[Type]]="IN",Table1[[#This Row],[C/D (LC)]],IF(Table1[[#This Row],[Type]]="CN",Table1[[#This Row],[C/D (LC)]],"")),"")</f>
        <v>-44</v>
      </c>
      <c r="P690" t="str">
        <f>VLOOKUP(Table1[[#This Row],[Cust '#]],ClientInfo!$A:$B,2,0)</f>
        <v>Client_08</v>
      </c>
    </row>
    <row r="691" spans="1:16">
      <c r="A691" t="s">
        <v>114</v>
      </c>
      <c r="B691" t="s">
        <v>12</v>
      </c>
      <c r="C691">
        <v>140007174</v>
      </c>
      <c r="D691" s="1">
        <v>45412</v>
      </c>
      <c r="E691">
        <v>7932.45</v>
      </c>
      <c r="F691">
        <v>0</v>
      </c>
      <c r="G691">
        <v>700000784</v>
      </c>
      <c r="H691" s="1">
        <v>45446</v>
      </c>
      <c r="I691">
        <f>YEAR(Table1[[#This Row],[Posting Date]])</f>
        <v>2024</v>
      </c>
      <c r="J691">
        <f>MONTH(Table1[[#This Row],[Posting Date]])</f>
        <v>4</v>
      </c>
      <c r="K691" t="str">
        <f>IF(Table1[[#This Row],[Type]]="IN",VLOOKUP(Table1[[#This Row],[Cust '#]],ClientInfo!$A:$D,4,0),"")</f>
        <v>NET30</v>
      </c>
      <c r="L691" s="1">
        <f>IF(K691="NET30",Table1[[#This Row],[Posting Date]]+30,IF(K691="NET15",Table1[[#This Row],[Posting Date]]+15,IF(K691="COD",Table1[[#This Row],[Posting Date]],"")))</f>
        <v>45442</v>
      </c>
      <c r="M691" s="4">
        <f>IFERROR(IF(Table1[[#This Row],[Type]]="IN",Table1[[#This Row],[RC Date]]-Table1[[#This Row],[Posting Date]],""),"")</f>
        <v>34</v>
      </c>
      <c r="N691">
        <f>IFERROR(IF(Table1[[#This Row],[Balance Due (LC)]]&lt;&gt;0,$S$1-L691,0),"")</f>
        <v>0</v>
      </c>
      <c r="O691">
        <f>IFERROR(IF(Table1[[#This Row],[Type]]="IN",Table1[[#This Row],[C/D (LC)]],IF(Table1[[#This Row],[Type]]="CN",Table1[[#This Row],[C/D (LC)]],"")),"")</f>
        <v>7932.45</v>
      </c>
      <c r="P691" t="str">
        <f>VLOOKUP(Table1[[#This Row],[Cust '#]],ClientInfo!$A:$B,2,0)</f>
        <v>Client_08</v>
      </c>
    </row>
    <row r="692" spans="1:16">
      <c r="A692" t="s">
        <v>114</v>
      </c>
      <c r="B692" t="s">
        <v>12</v>
      </c>
      <c r="C692">
        <v>140007300</v>
      </c>
      <c r="D692" s="1">
        <v>45415</v>
      </c>
      <c r="E692">
        <v>344</v>
      </c>
      <c r="F692">
        <v>0</v>
      </c>
      <c r="G692">
        <v>700001044</v>
      </c>
      <c r="H692" s="1">
        <v>45481</v>
      </c>
      <c r="I692">
        <f>YEAR(Table1[[#This Row],[Posting Date]])</f>
        <v>2024</v>
      </c>
      <c r="J692">
        <f>MONTH(Table1[[#This Row],[Posting Date]])</f>
        <v>5</v>
      </c>
      <c r="K692" t="str">
        <f>IF(Table1[[#This Row],[Type]]="IN",VLOOKUP(Table1[[#This Row],[Cust '#]],ClientInfo!$A:$D,4,0),"")</f>
        <v>NET30</v>
      </c>
      <c r="L692" s="1">
        <f>IF(K692="NET30",Table1[[#This Row],[Posting Date]]+30,IF(K692="NET15",Table1[[#This Row],[Posting Date]]+15,IF(K692="COD",Table1[[#This Row],[Posting Date]],"")))</f>
        <v>45445</v>
      </c>
      <c r="M692" s="4">
        <f>IFERROR(IF(Table1[[#This Row],[Type]]="IN",Table1[[#This Row],[RC Date]]-Table1[[#This Row],[Posting Date]],""),"")</f>
        <v>66</v>
      </c>
      <c r="N692">
        <f>IFERROR(IF(Table1[[#This Row],[Balance Due (LC)]]&lt;&gt;0,$S$1-L692,0),"")</f>
        <v>0</v>
      </c>
      <c r="O692">
        <f>IFERROR(IF(Table1[[#This Row],[Type]]="IN",Table1[[#This Row],[C/D (LC)]],IF(Table1[[#This Row],[Type]]="CN",Table1[[#This Row],[C/D (LC)]],"")),"")</f>
        <v>344</v>
      </c>
      <c r="P692" t="str">
        <f>VLOOKUP(Table1[[#This Row],[Cust '#]],ClientInfo!$A:$B,2,0)</f>
        <v>Client_08</v>
      </c>
    </row>
    <row r="693" spans="1:16">
      <c r="A693" t="s">
        <v>114</v>
      </c>
      <c r="B693" t="s">
        <v>12</v>
      </c>
      <c r="C693">
        <v>140007348</v>
      </c>
      <c r="D693" s="1">
        <v>45415</v>
      </c>
      <c r="E693">
        <v>339.4</v>
      </c>
      <c r="F693">
        <v>0</v>
      </c>
      <c r="G693">
        <v>700001044</v>
      </c>
      <c r="H693" s="1">
        <v>45481</v>
      </c>
      <c r="I693">
        <f>YEAR(Table1[[#This Row],[Posting Date]])</f>
        <v>2024</v>
      </c>
      <c r="J693">
        <f>MONTH(Table1[[#This Row],[Posting Date]])</f>
        <v>5</v>
      </c>
      <c r="K693" t="str">
        <f>IF(Table1[[#This Row],[Type]]="IN",VLOOKUP(Table1[[#This Row],[Cust '#]],ClientInfo!$A:$D,4,0),"")</f>
        <v>NET30</v>
      </c>
      <c r="L693" s="1">
        <f>IF(K693="NET30",Table1[[#This Row],[Posting Date]]+30,IF(K693="NET15",Table1[[#This Row],[Posting Date]]+15,IF(K693="COD",Table1[[#This Row],[Posting Date]],"")))</f>
        <v>45445</v>
      </c>
      <c r="M693" s="4">
        <f>IFERROR(IF(Table1[[#This Row],[Type]]="IN",Table1[[#This Row],[RC Date]]-Table1[[#This Row],[Posting Date]],""),"")</f>
        <v>66</v>
      </c>
      <c r="N693">
        <f>IFERROR(IF(Table1[[#This Row],[Balance Due (LC)]]&lt;&gt;0,$S$1-L693,0),"")</f>
        <v>0</v>
      </c>
      <c r="O693">
        <f>IFERROR(IF(Table1[[#This Row],[Type]]="IN",Table1[[#This Row],[C/D (LC)]],IF(Table1[[#This Row],[Type]]="CN",Table1[[#This Row],[C/D (LC)]],"")),"")</f>
        <v>339.4</v>
      </c>
      <c r="P693" t="str">
        <f>VLOOKUP(Table1[[#This Row],[Cust '#]],ClientInfo!$A:$B,2,0)</f>
        <v>Client_08</v>
      </c>
    </row>
    <row r="694" spans="1:16">
      <c r="A694" t="s">
        <v>114</v>
      </c>
      <c r="B694" t="s">
        <v>10</v>
      </c>
      <c r="C694">
        <v>700000570</v>
      </c>
      <c r="D694" s="1">
        <v>45418</v>
      </c>
      <c r="E694">
        <v>-29723.85</v>
      </c>
      <c r="F694">
        <v>0</v>
      </c>
      <c r="G694">
        <v>700000570</v>
      </c>
      <c r="H694" s="1">
        <v>45418</v>
      </c>
      <c r="I694">
        <f>YEAR(Table1[[#This Row],[Posting Date]])</f>
        <v>2024</v>
      </c>
      <c r="J694">
        <f>MONTH(Table1[[#This Row],[Posting Date]])</f>
        <v>5</v>
      </c>
      <c r="K694" t="str">
        <f>IF(Table1[[#This Row],[Type]]="IN",VLOOKUP(Table1[[#This Row],[Cust '#]],ClientInfo!$A:$D,4,0),"")</f>
        <v/>
      </c>
      <c r="L694" s="1" t="str">
        <f>IF(K694="NET30",Table1[[#This Row],[Posting Date]]+30,IF(K694="NET15",Table1[[#This Row],[Posting Date]]+15,IF(K694="COD",Table1[[#This Row],[Posting Date]],"")))</f>
        <v/>
      </c>
      <c r="M694" s="4" t="str">
        <f>IFERROR(IF(Table1[[#This Row],[Type]]="IN",Table1[[#This Row],[RC Date]]-Table1[[#This Row],[Posting Date]],""),"")</f>
        <v/>
      </c>
      <c r="N694">
        <f>IFERROR(IF(Table1[[#This Row],[Balance Due (LC)]]&lt;&gt;0,$S$1-L694,0),"")</f>
        <v>0</v>
      </c>
      <c r="O694" t="str">
        <f>IFERROR(IF(Table1[[#This Row],[Type]]="IN",Table1[[#This Row],[C/D (LC)]],IF(Table1[[#This Row],[Type]]="CN",Table1[[#This Row],[C/D (LC)]],"")),"")</f>
        <v/>
      </c>
      <c r="P694" t="str">
        <f>VLOOKUP(Table1[[#This Row],[Cust '#]],ClientInfo!$A:$B,2,0)</f>
        <v>Client_08</v>
      </c>
    </row>
    <row r="695" spans="1:16">
      <c r="A695" t="s">
        <v>114</v>
      </c>
      <c r="B695" t="s">
        <v>12</v>
      </c>
      <c r="C695">
        <v>140007461</v>
      </c>
      <c r="D695" s="1">
        <v>45419</v>
      </c>
      <c r="E695">
        <v>6697.45</v>
      </c>
      <c r="F695">
        <v>0</v>
      </c>
      <c r="G695">
        <v>700001044</v>
      </c>
      <c r="H695" s="1">
        <v>45481</v>
      </c>
      <c r="I695">
        <f>YEAR(Table1[[#This Row],[Posting Date]])</f>
        <v>2024</v>
      </c>
      <c r="J695">
        <f>MONTH(Table1[[#This Row],[Posting Date]])</f>
        <v>5</v>
      </c>
      <c r="K695" t="str">
        <f>IF(Table1[[#This Row],[Type]]="IN",VLOOKUP(Table1[[#This Row],[Cust '#]],ClientInfo!$A:$D,4,0),"")</f>
        <v>NET30</v>
      </c>
      <c r="L695" s="1">
        <f>IF(K695="NET30",Table1[[#This Row],[Posting Date]]+30,IF(K695="NET15",Table1[[#This Row],[Posting Date]]+15,IF(K695="COD",Table1[[#This Row],[Posting Date]],"")))</f>
        <v>45449</v>
      </c>
      <c r="M695" s="4">
        <f>IFERROR(IF(Table1[[#This Row],[Type]]="IN",Table1[[#This Row],[RC Date]]-Table1[[#This Row],[Posting Date]],""),"")</f>
        <v>62</v>
      </c>
      <c r="N695">
        <f>IFERROR(IF(Table1[[#This Row],[Balance Due (LC)]]&lt;&gt;0,$S$1-L695,0),"")</f>
        <v>0</v>
      </c>
      <c r="O695">
        <f>IFERROR(IF(Table1[[#This Row],[Type]]="IN",Table1[[#This Row],[C/D (LC)]],IF(Table1[[#This Row],[Type]]="CN",Table1[[#This Row],[C/D (LC)]],"")),"")</f>
        <v>6697.45</v>
      </c>
      <c r="P695" t="str">
        <f>VLOOKUP(Table1[[#This Row],[Cust '#]],ClientInfo!$A:$B,2,0)</f>
        <v>Client_08</v>
      </c>
    </row>
    <row r="696" spans="1:16">
      <c r="A696" t="s">
        <v>114</v>
      </c>
      <c r="B696" t="s">
        <v>12</v>
      </c>
      <c r="C696">
        <v>140007482</v>
      </c>
      <c r="D696" s="1">
        <v>45419</v>
      </c>
      <c r="E696">
        <v>815.6</v>
      </c>
      <c r="F696">
        <v>0</v>
      </c>
      <c r="G696">
        <v>700001044</v>
      </c>
      <c r="H696" s="1">
        <v>45481</v>
      </c>
      <c r="I696">
        <f>YEAR(Table1[[#This Row],[Posting Date]])</f>
        <v>2024</v>
      </c>
      <c r="J696">
        <f>MONTH(Table1[[#This Row],[Posting Date]])</f>
        <v>5</v>
      </c>
      <c r="K696" t="str">
        <f>IF(Table1[[#This Row],[Type]]="IN",VLOOKUP(Table1[[#This Row],[Cust '#]],ClientInfo!$A:$D,4,0),"")</f>
        <v>NET30</v>
      </c>
      <c r="L696" s="1">
        <f>IF(K696="NET30",Table1[[#This Row],[Posting Date]]+30,IF(K696="NET15",Table1[[#This Row],[Posting Date]]+15,IF(K696="COD",Table1[[#This Row],[Posting Date]],"")))</f>
        <v>45449</v>
      </c>
      <c r="M696" s="4">
        <f>IFERROR(IF(Table1[[#This Row],[Type]]="IN",Table1[[#This Row],[RC Date]]-Table1[[#This Row],[Posting Date]],""),"")</f>
        <v>62</v>
      </c>
      <c r="N696">
        <f>IFERROR(IF(Table1[[#This Row],[Balance Due (LC)]]&lt;&gt;0,$S$1-L696,0),"")</f>
        <v>0</v>
      </c>
      <c r="O696">
        <f>IFERROR(IF(Table1[[#This Row],[Type]]="IN",Table1[[#This Row],[C/D (LC)]],IF(Table1[[#This Row],[Type]]="CN",Table1[[#This Row],[C/D (LC)]],"")),"")</f>
        <v>815.6</v>
      </c>
      <c r="P696" t="str">
        <f>VLOOKUP(Table1[[#This Row],[Cust '#]],ClientInfo!$A:$B,2,0)</f>
        <v>Client_08</v>
      </c>
    </row>
    <row r="697" spans="1:16">
      <c r="A697" t="s">
        <v>114</v>
      </c>
      <c r="B697" t="s">
        <v>12</v>
      </c>
      <c r="C697">
        <v>140007781</v>
      </c>
      <c r="D697" s="1">
        <v>45426</v>
      </c>
      <c r="E697">
        <v>5747.85</v>
      </c>
      <c r="F697">
        <v>0</v>
      </c>
      <c r="G697">
        <v>700001044</v>
      </c>
      <c r="H697" s="1">
        <v>45481</v>
      </c>
      <c r="I697">
        <f>YEAR(Table1[[#This Row],[Posting Date]])</f>
        <v>2024</v>
      </c>
      <c r="J697">
        <f>MONTH(Table1[[#This Row],[Posting Date]])</f>
        <v>5</v>
      </c>
      <c r="K697" t="str">
        <f>IF(Table1[[#This Row],[Type]]="IN",VLOOKUP(Table1[[#This Row],[Cust '#]],ClientInfo!$A:$D,4,0),"")</f>
        <v>NET30</v>
      </c>
      <c r="L697" s="1">
        <f>IF(K697="NET30",Table1[[#This Row],[Posting Date]]+30,IF(K697="NET15",Table1[[#This Row],[Posting Date]]+15,IF(K697="COD",Table1[[#This Row],[Posting Date]],"")))</f>
        <v>45456</v>
      </c>
      <c r="M697" s="4">
        <f>IFERROR(IF(Table1[[#This Row],[Type]]="IN",Table1[[#This Row],[RC Date]]-Table1[[#This Row],[Posting Date]],""),"")</f>
        <v>55</v>
      </c>
      <c r="N697">
        <f>IFERROR(IF(Table1[[#This Row],[Balance Due (LC)]]&lt;&gt;0,$S$1-L697,0),"")</f>
        <v>0</v>
      </c>
      <c r="O697">
        <f>IFERROR(IF(Table1[[#This Row],[Type]]="IN",Table1[[#This Row],[C/D (LC)]],IF(Table1[[#This Row],[Type]]="CN",Table1[[#This Row],[C/D (LC)]],"")),"")</f>
        <v>5747.85</v>
      </c>
      <c r="P697" t="str">
        <f>VLOOKUP(Table1[[#This Row],[Cust '#]],ClientInfo!$A:$B,2,0)</f>
        <v>Client_08</v>
      </c>
    </row>
    <row r="698" spans="1:16">
      <c r="A698" t="s">
        <v>114</v>
      </c>
      <c r="B698" t="s">
        <v>13</v>
      </c>
      <c r="C698">
        <v>150000318</v>
      </c>
      <c r="D698" s="1">
        <v>45429</v>
      </c>
      <c r="E698">
        <v>-36</v>
      </c>
      <c r="F698">
        <v>0</v>
      </c>
      <c r="G698">
        <v>700000784</v>
      </c>
      <c r="H698" s="1">
        <v>45446</v>
      </c>
      <c r="I698">
        <f>YEAR(Table1[[#This Row],[Posting Date]])</f>
        <v>2024</v>
      </c>
      <c r="J698">
        <f>MONTH(Table1[[#This Row],[Posting Date]])</f>
        <v>5</v>
      </c>
      <c r="K698" t="str">
        <f>IF(Table1[[#This Row],[Type]]="IN",VLOOKUP(Table1[[#This Row],[Cust '#]],ClientInfo!$A:$D,4,0),"")</f>
        <v/>
      </c>
      <c r="L698" s="1" t="str">
        <f>IF(K698="NET30",Table1[[#This Row],[Posting Date]]+30,IF(K698="NET15",Table1[[#This Row],[Posting Date]]+15,IF(K698="COD",Table1[[#This Row],[Posting Date]],"")))</f>
        <v/>
      </c>
      <c r="M698" s="4" t="str">
        <f>IFERROR(IF(Table1[[#This Row],[Type]]="IN",Table1[[#This Row],[RC Date]]-Table1[[#This Row],[Posting Date]],""),"")</f>
        <v/>
      </c>
      <c r="N698">
        <f>IFERROR(IF(Table1[[#This Row],[Balance Due (LC)]]&lt;&gt;0,$S$1-L698,0),"")</f>
        <v>0</v>
      </c>
      <c r="O698">
        <f>IFERROR(IF(Table1[[#This Row],[Type]]="IN",Table1[[#This Row],[C/D (LC)]],IF(Table1[[#This Row],[Type]]="CN",Table1[[#This Row],[C/D (LC)]],"")),"")</f>
        <v>-36</v>
      </c>
      <c r="P698" t="str">
        <f>VLOOKUP(Table1[[#This Row],[Cust '#]],ClientInfo!$A:$B,2,0)</f>
        <v>Client_08</v>
      </c>
    </row>
    <row r="699" spans="1:16">
      <c r="A699" t="s">
        <v>114</v>
      </c>
      <c r="B699" t="s">
        <v>12</v>
      </c>
      <c r="C699">
        <v>140008113</v>
      </c>
      <c r="D699" s="1">
        <v>45433</v>
      </c>
      <c r="E699">
        <v>9707.4</v>
      </c>
      <c r="F699">
        <v>0</v>
      </c>
      <c r="G699">
        <v>700001044</v>
      </c>
      <c r="H699" s="1">
        <v>45481</v>
      </c>
      <c r="I699">
        <f>YEAR(Table1[[#This Row],[Posting Date]])</f>
        <v>2024</v>
      </c>
      <c r="J699">
        <f>MONTH(Table1[[#This Row],[Posting Date]])</f>
        <v>5</v>
      </c>
      <c r="K699" t="str">
        <f>IF(Table1[[#This Row],[Type]]="IN",VLOOKUP(Table1[[#This Row],[Cust '#]],ClientInfo!$A:$D,4,0),"")</f>
        <v>NET30</v>
      </c>
      <c r="L699" s="1">
        <f>IF(K699="NET30",Table1[[#This Row],[Posting Date]]+30,IF(K699="NET15",Table1[[#This Row],[Posting Date]]+15,IF(K699="COD",Table1[[#This Row],[Posting Date]],"")))</f>
        <v>45463</v>
      </c>
      <c r="M699" s="4">
        <f>IFERROR(IF(Table1[[#This Row],[Type]]="IN",Table1[[#This Row],[RC Date]]-Table1[[#This Row],[Posting Date]],""),"")</f>
        <v>48</v>
      </c>
      <c r="N699">
        <f>IFERROR(IF(Table1[[#This Row],[Balance Due (LC)]]&lt;&gt;0,$S$1-L699,0),"")</f>
        <v>0</v>
      </c>
      <c r="O699">
        <f>IFERROR(IF(Table1[[#This Row],[Type]]="IN",Table1[[#This Row],[C/D (LC)]],IF(Table1[[#This Row],[Type]]="CN",Table1[[#This Row],[C/D (LC)]],"")),"")</f>
        <v>9707.4</v>
      </c>
      <c r="P699" t="str">
        <f>VLOOKUP(Table1[[#This Row],[Cust '#]],ClientInfo!$A:$B,2,0)</f>
        <v>Client_08</v>
      </c>
    </row>
    <row r="700" spans="1:16">
      <c r="A700" t="s">
        <v>114</v>
      </c>
      <c r="B700" t="s">
        <v>12</v>
      </c>
      <c r="C700">
        <v>140008274</v>
      </c>
      <c r="D700" s="1">
        <v>45435</v>
      </c>
      <c r="E700">
        <v>533.5</v>
      </c>
      <c r="F700">
        <v>0</v>
      </c>
      <c r="G700">
        <v>700001044</v>
      </c>
      <c r="H700" s="1">
        <v>45481</v>
      </c>
      <c r="I700">
        <f>YEAR(Table1[[#This Row],[Posting Date]])</f>
        <v>2024</v>
      </c>
      <c r="J700">
        <f>MONTH(Table1[[#This Row],[Posting Date]])</f>
        <v>5</v>
      </c>
      <c r="K700" t="str">
        <f>IF(Table1[[#This Row],[Type]]="IN",VLOOKUP(Table1[[#This Row],[Cust '#]],ClientInfo!$A:$D,4,0),"")</f>
        <v>NET30</v>
      </c>
      <c r="L700" s="1">
        <f>IF(K700="NET30",Table1[[#This Row],[Posting Date]]+30,IF(K700="NET15",Table1[[#This Row],[Posting Date]]+15,IF(K700="COD",Table1[[#This Row],[Posting Date]],"")))</f>
        <v>45465</v>
      </c>
      <c r="M700" s="4">
        <f>IFERROR(IF(Table1[[#This Row],[Type]]="IN",Table1[[#This Row],[RC Date]]-Table1[[#This Row],[Posting Date]],""),"")</f>
        <v>46</v>
      </c>
      <c r="N700">
        <f>IFERROR(IF(Table1[[#This Row],[Balance Due (LC)]]&lt;&gt;0,$S$1-L700,0),"")</f>
        <v>0</v>
      </c>
      <c r="O700">
        <f>IFERROR(IF(Table1[[#This Row],[Type]]="IN",Table1[[#This Row],[C/D (LC)]],IF(Table1[[#This Row],[Type]]="CN",Table1[[#This Row],[C/D (LC)]],"")),"")</f>
        <v>533.5</v>
      </c>
      <c r="P700" t="str">
        <f>VLOOKUP(Table1[[#This Row],[Cust '#]],ClientInfo!$A:$B,2,0)</f>
        <v>Client_08</v>
      </c>
    </row>
    <row r="701" spans="1:16">
      <c r="A701" t="s">
        <v>114</v>
      </c>
      <c r="B701" t="s">
        <v>12</v>
      </c>
      <c r="C701">
        <v>140008442</v>
      </c>
      <c r="D701" s="1">
        <v>45440</v>
      </c>
      <c r="E701">
        <v>8029.1</v>
      </c>
      <c r="F701">
        <v>0</v>
      </c>
      <c r="G701">
        <v>700001044</v>
      </c>
      <c r="H701" s="1">
        <v>45481</v>
      </c>
      <c r="I701">
        <f>YEAR(Table1[[#This Row],[Posting Date]])</f>
        <v>2024</v>
      </c>
      <c r="J701">
        <f>MONTH(Table1[[#This Row],[Posting Date]])</f>
        <v>5</v>
      </c>
      <c r="K701" t="str">
        <f>IF(Table1[[#This Row],[Type]]="IN",VLOOKUP(Table1[[#This Row],[Cust '#]],ClientInfo!$A:$D,4,0),"")</f>
        <v>NET30</v>
      </c>
      <c r="L701" s="1">
        <f>IF(K701="NET30",Table1[[#This Row],[Posting Date]]+30,IF(K701="NET15",Table1[[#This Row],[Posting Date]]+15,IF(K701="COD",Table1[[#This Row],[Posting Date]],"")))</f>
        <v>45470</v>
      </c>
      <c r="M701" s="4">
        <f>IFERROR(IF(Table1[[#This Row],[Type]]="IN",Table1[[#This Row],[RC Date]]-Table1[[#This Row],[Posting Date]],""),"")</f>
        <v>41</v>
      </c>
      <c r="N701">
        <f>IFERROR(IF(Table1[[#This Row],[Balance Due (LC)]]&lt;&gt;0,$S$1-L701,0),"")</f>
        <v>0</v>
      </c>
      <c r="O701">
        <f>IFERROR(IF(Table1[[#This Row],[Type]]="IN",Table1[[#This Row],[C/D (LC)]],IF(Table1[[#This Row],[Type]]="CN",Table1[[#This Row],[C/D (LC)]],"")),"")</f>
        <v>8029.1</v>
      </c>
      <c r="P701" t="str">
        <f>VLOOKUP(Table1[[#This Row],[Cust '#]],ClientInfo!$A:$B,2,0)</f>
        <v>Client_08</v>
      </c>
    </row>
    <row r="702" spans="1:16">
      <c r="A702" t="s">
        <v>114</v>
      </c>
      <c r="B702" t="s">
        <v>10</v>
      </c>
      <c r="C702">
        <v>700000784</v>
      </c>
      <c r="D702" s="1">
        <v>45446</v>
      </c>
      <c r="E702">
        <v>-35861.300000000003</v>
      </c>
      <c r="F702">
        <v>0</v>
      </c>
      <c r="G702">
        <v>700000784</v>
      </c>
      <c r="H702" s="1">
        <v>45446</v>
      </c>
      <c r="I702">
        <f>YEAR(Table1[[#This Row],[Posting Date]])</f>
        <v>2024</v>
      </c>
      <c r="J702">
        <f>MONTH(Table1[[#This Row],[Posting Date]])</f>
        <v>6</v>
      </c>
      <c r="K702" t="str">
        <f>IF(Table1[[#This Row],[Type]]="IN",VLOOKUP(Table1[[#This Row],[Cust '#]],ClientInfo!$A:$D,4,0),"")</f>
        <v/>
      </c>
      <c r="L702" s="1" t="str">
        <f>IF(K702="NET30",Table1[[#This Row],[Posting Date]]+30,IF(K702="NET15",Table1[[#This Row],[Posting Date]]+15,IF(K702="COD",Table1[[#This Row],[Posting Date]],"")))</f>
        <v/>
      </c>
      <c r="M702" s="4" t="str">
        <f>IFERROR(IF(Table1[[#This Row],[Type]]="IN",Table1[[#This Row],[RC Date]]-Table1[[#This Row],[Posting Date]],""),"")</f>
        <v/>
      </c>
      <c r="N702">
        <f>IFERROR(IF(Table1[[#This Row],[Balance Due (LC)]]&lt;&gt;0,$S$1-L702,0),"")</f>
        <v>0</v>
      </c>
      <c r="O702" t="str">
        <f>IFERROR(IF(Table1[[#This Row],[Type]]="IN",Table1[[#This Row],[C/D (LC)]],IF(Table1[[#This Row],[Type]]="CN",Table1[[#This Row],[C/D (LC)]],"")),"")</f>
        <v/>
      </c>
      <c r="P702" t="str">
        <f>VLOOKUP(Table1[[#This Row],[Cust '#]],ClientInfo!$A:$B,2,0)</f>
        <v>Client_08</v>
      </c>
    </row>
    <row r="703" spans="1:16">
      <c r="A703" t="s">
        <v>114</v>
      </c>
      <c r="B703" t="s">
        <v>12</v>
      </c>
      <c r="C703">
        <v>140008762</v>
      </c>
      <c r="D703" s="1">
        <v>45447</v>
      </c>
      <c r="E703">
        <v>7679.95</v>
      </c>
      <c r="F703">
        <v>0</v>
      </c>
      <c r="G703">
        <v>700001266</v>
      </c>
      <c r="H703" s="1">
        <v>45511</v>
      </c>
      <c r="I703">
        <f>YEAR(Table1[[#This Row],[Posting Date]])</f>
        <v>2024</v>
      </c>
      <c r="J703">
        <f>MONTH(Table1[[#This Row],[Posting Date]])</f>
        <v>6</v>
      </c>
      <c r="K703" t="str">
        <f>IF(Table1[[#This Row],[Type]]="IN",VLOOKUP(Table1[[#This Row],[Cust '#]],ClientInfo!$A:$D,4,0),"")</f>
        <v>NET30</v>
      </c>
      <c r="L703" s="1">
        <f>IF(K703="NET30",Table1[[#This Row],[Posting Date]]+30,IF(K703="NET15",Table1[[#This Row],[Posting Date]]+15,IF(K703="COD",Table1[[#This Row],[Posting Date]],"")))</f>
        <v>45477</v>
      </c>
      <c r="M703" s="4">
        <f>IFERROR(IF(Table1[[#This Row],[Type]]="IN",Table1[[#This Row],[RC Date]]-Table1[[#This Row],[Posting Date]],""),"")</f>
        <v>64</v>
      </c>
      <c r="N703">
        <f>IFERROR(IF(Table1[[#This Row],[Balance Due (LC)]]&lt;&gt;0,$S$1-L703,0),"")</f>
        <v>0</v>
      </c>
      <c r="O703">
        <f>IFERROR(IF(Table1[[#This Row],[Type]]="IN",Table1[[#This Row],[C/D (LC)]],IF(Table1[[#This Row],[Type]]="CN",Table1[[#This Row],[C/D (LC)]],"")),"")</f>
        <v>7679.95</v>
      </c>
      <c r="P703" t="str">
        <f>VLOOKUP(Table1[[#This Row],[Cust '#]],ClientInfo!$A:$B,2,0)</f>
        <v>Client_08</v>
      </c>
    </row>
    <row r="704" spans="1:16">
      <c r="A704" t="s">
        <v>114</v>
      </c>
      <c r="B704" t="s">
        <v>12</v>
      </c>
      <c r="C704">
        <v>140009078</v>
      </c>
      <c r="D704" s="1">
        <v>45454</v>
      </c>
      <c r="E704">
        <v>5365.8</v>
      </c>
      <c r="F704">
        <v>0</v>
      </c>
      <c r="G704">
        <v>700001266</v>
      </c>
      <c r="H704" s="1">
        <v>45511</v>
      </c>
      <c r="I704">
        <f>YEAR(Table1[[#This Row],[Posting Date]])</f>
        <v>2024</v>
      </c>
      <c r="J704">
        <f>MONTH(Table1[[#This Row],[Posting Date]])</f>
        <v>6</v>
      </c>
      <c r="K704" t="str">
        <f>IF(Table1[[#This Row],[Type]]="IN",VLOOKUP(Table1[[#This Row],[Cust '#]],ClientInfo!$A:$D,4,0),"")</f>
        <v>NET30</v>
      </c>
      <c r="L704" s="1">
        <f>IF(K704="NET30",Table1[[#This Row],[Posting Date]]+30,IF(K704="NET15",Table1[[#This Row],[Posting Date]]+15,IF(K704="COD",Table1[[#This Row],[Posting Date]],"")))</f>
        <v>45484</v>
      </c>
      <c r="M704" s="4">
        <f>IFERROR(IF(Table1[[#This Row],[Type]]="IN",Table1[[#This Row],[RC Date]]-Table1[[#This Row],[Posting Date]],""),"")</f>
        <v>57</v>
      </c>
      <c r="N704">
        <f>IFERROR(IF(Table1[[#This Row],[Balance Due (LC)]]&lt;&gt;0,$S$1-L704,0),"")</f>
        <v>0</v>
      </c>
      <c r="O704">
        <f>IFERROR(IF(Table1[[#This Row],[Type]]="IN",Table1[[#This Row],[C/D (LC)]],IF(Table1[[#This Row],[Type]]="CN",Table1[[#This Row],[C/D (LC)]],"")),"")</f>
        <v>5365.8</v>
      </c>
      <c r="P704" t="str">
        <f>VLOOKUP(Table1[[#This Row],[Cust '#]],ClientInfo!$A:$B,2,0)</f>
        <v>Client_08</v>
      </c>
    </row>
    <row r="705" spans="1:16">
      <c r="A705" t="s">
        <v>114</v>
      </c>
      <c r="B705" t="s">
        <v>12</v>
      </c>
      <c r="C705">
        <v>140009395</v>
      </c>
      <c r="D705" s="1">
        <v>45461</v>
      </c>
      <c r="E705">
        <v>5492.85</v>
      </c>
      <c r="F705">
        <v>0</v>
      </c>
      <c r="G705">
        <v>700001266</v>
      </c>
      <c r="H705" s="1">
        <v>45511</v>
      </c>
      <c r="I705">
        <f>YEAR(Table1[[#This Row],[Posting Date]])</f>
        <v>2024</v>
      </c>
      <c r="J705">
        <f>MONTH(Table1[[#This Row],[Posting Date]])</f>
        <v>6</v>
      </c>
      <c r="K705" t="str">
        <f>IF(Table1[[#This Row],[Type]]="IN",VLOOKUP(Table1[[#This Row],[Cust '#]],ClientInfo!$A:$D,4,0),"")</f>
        <v>NET30</v>
      </c>
      <c r="L705" s="1">
        <f>IF(K705="NET30",Table1[[#This Row],[Posting Date]]+30,IF(K705="NET15",Table1[[#This Row],[Posting Date]]+15,IF(K705="COD",Table1[[#This Row],[Posting Date]],"")))</f>
        <v>45491</v>
      </c>
      <c r="M705" s="4">
        <f>IFERROR(IF(Table1[[#This Row],[Type]]="IN",Table1[[#This Row],[RC Date]]-Table1[[#This Row],[Posting Date]],""),"")</f>
        <v>50</v>
      </c>
      <c r="N705">
        <f>IFERROR(IF(Table1[[#This Row],[Balance Due (LC)]]&lt;&gt;0,$S$1-L705,0),"")</f>
        <v>0</v>
      </c>
      <c r="O705">
        <f>IFERROR(IF(Table1[[#This Row],[Type]]="IN",Table1[[#This Row],[C/D (LC)]],IF(Table1[[#This Row],[Type]]="CN",Table1[[#This Row],[C/D (LC)]],"")),"")</f>
        <v>5492.85</v>
      </c>
      <c r="P705" t="str">
        <f>VLOOKUP(Table1[[#This Row],[Cust '#]],ClientInfo!$A:$B,2,0)</f>
        <v>Client_08</v>
      </c>
    </row>
    <row r="706" spans="1:16">
      <c r="A706" t="s">
        <v>114</v>
      </c>
      <c r="B706" t="s">
        <v>13</v>
      </c>
      <c r="C706">
        <v>150000419</v>
      </c>
      <c r="D706" s="1">
        <v>45464</v>
      </c>
      <c r="E706">
        <v>-58</v>
      </c>
      <c r="F706">
        <v>0</v>
      </c>
      <c r="G706">
        <v>700001044</v>
      </c>
      <c r="H706" s="1">
        <v>45481</v>
      </c>
      <c r="I706">
        <f>YEAR(Table1[[#This Row],[Posting Date]])</f>
        <v>2024</v>
      </c>
      <c r="J706">
        <f>MONTH(Table1[[#This Row],[Posting Date]])</f>
        <v>6</v>
      </c>
      <c r="K706" t="str">
        <f>IF(Table1[[#This Row],[Type]]="IN",VLOOKUP(Table1[[#This Row],[Cust '#]],ClientInfo!$A:$D,4,0),"")</f>
        <v/>
      </c>
      <c r="L706" s="1" t="str">
        <f>IF(K706="NET30",Table1[[#This Row],[Posting Date]]+30,IF(K706="NET15",Table1[[#This Row],[Posting Date]]+15,IF(K706="COD",Table1[[#This Row],[Posting Date]],"")))</f>
        <v/>
      </c>
      <c r="M706" s="4" t="str">
        <f>IFERROR(IF(Table1[[#This Row],[Type]]="IN",Table1[[#This Row],[RC Date]]-Table1[[#This Row],[Posting Date]],""),"")</f>
        <v/>
      </c>
      <c r="N706">
        <f>IFERROR(IF(Table1[[#This Row],[Balance Due (LC)]]&lt;&gt;0,$S$1-L706,0),"")</f>
        <v>0</v>
      </c>
      <c r="O706">
        <f>IFERROR(IF(Table1[[#This Row],[Type]]="IN",Table1[[#This Row],[C/D (LC)]],IF(Table1[[#This Row],[Type]]="CN",Table1[[#This Row],[C/D (LC)]],"")),"")</f>
        <v>-58</v>
      </c>
      <c r="P706" t="str">
        <f>VLOOKUP(Table1[[#This Row],[Cust '#]],ClientInfo!$A:$B,2,0)</f>
        <v>Client_08</v>
      </c>
    </row>
    <row r="707" spans="1:16">
      <c r="A707" t="s">
        <v>114</v>
      </c>
      <c r="B707" t="s">
        <v>13</v>
      </c>
      <c r="C707">
        <v>150000420</v>
      </c>
      <c r="D707" s="1">
        <v>45464</v>
      </c>
      <c r="E707">
        <v>-139.80000000000001</v>
      </c>
      <c r="F707">
        <v>0</v>
      </c>
      <c r="G707">
        <v>700001266</v>
      </c>
      <c r="H707" s="1">
        <v>45511</v>
      </c>
      <c r="I707">
        <f>YEAR(Table1[[#This Row],[Posting Date]])</f>
        <v>2024</v>
      </c>
      <c r="J707">
        <f>MONTH(Table1[[#This Row],[Posting Date]])</f>
        <v>6</v>
      </c>
      <c r="K707" t="str">
        <f>IF(Table1[[#This Row],[Type]]="IN",VLOOKUP(Table1[[#This Row],[Cust '#]],ClientInfo!$A:$D,4,0),"")</f>
        <v/>
      </c>
      <c r="L707" s="1" t="str">
        <f>IF(K707="NET30",Table1[[#This Row],[Posting Date]]+30,IF(K707="NET15",Table1[[#This Row],[Posting Date]]+15,IF(K707="COD",Table1[[#This Row],[Posting Date]],"")))</f>
        <v/>
      </c>
      <c r="M707" s="4" t="str">
        <f>IFERROR(IF(Table1[[#This Row],[Type]]="IN",Table1[[#This Row],[RC Date]]-Table1[[#This Row],[Posting Date]],""),"")</f>
        <v/>
      </c>
      <c r="N707">
        <f>IFERROR(IF(Table1[[#This Row],[Balance Due (LC)]]&lt;&gt;0,$S$1-L707,0),"")</f>
        <v>0</v>
      </c>
      <c r="O707">
        <f>IFERROR(IF(Table1[[#This Row],[Type]]="IN",Table1[[#This Row],[C/D (LC)]],IF(Table1[[#This Row],[Type]]="CN",Table1[[#This Row],[C/D (LC)]],"")),"")</f>
        <v>-139.80000000000001</v>
      </c>
      <c r="P707" t="str">
        <f>VLOOKUP(Table1[[#This Row],[Cust '#]],ClientInfo!$A:$B,2,0)</f>
        <v>Client_08</v>
      </c>
    </row>
    <row r="708" spans="1:16">
      <c r="A708" t="s">
        <v>114</v>
      </c>
      <c r="B708" t="s">
        <v>12</v>
      </c>
      <c r="C708">
        <v>140009696</v>
      </c>
      <c r="D708" s="1">
        <v>45468</v>
      </c>
      <c r="E708">
        <v>7910.35</v>
      </c>
      <c r="F708">
        <v>0</v>
      </c>
      <c r="G708">
        <v>700001266</v>
      </c>
      <c r="H708" s="1">
        <v>45511</v>
      </c>
      <c r="I708">
        <f>YEAR(Table1[[#This Row],[Posting Date]])</f>
        <v>2024</v>
      </c>
      <c r="J708">
        <f>MONTH(Table1[[#This Row],[Posting Date]])</f>
        <v>6</v>
      </c>
      <c r="K708" t="str">
        <f>IF(Table1[[#This Row],[Type]]="IN",VLOOKUP(Table1[[#This Row],[Cust '#]],ClientInfo!$A:$D,4,0),"")</f>
        <v>NET30</v>
      </c>
      <c r="L708" s="1">
        <f>IF(K708="NET30",Table1[[#This Row],[Posting Date]]+30,IF(K708="NET15",Table1[[#This Row],[Posting Date]]+15,IF(K708="COD",Table1[[#This Row],[Posting Date]],"")))</f>
        <v>45498</v>
      </c>
      <c r="M708" s="4">
        <f>IFERROR(IF(Table1[[#This Row],[Type]]="IN",Table1[[#This Row],[RC Date]]-Table1[[#This Row],[Posting Date]],""),"")</f>
        <v>43</v>
      </c>
      <c r="N708">
        <f>IFERROR(IF(Table1[[#This Row],[Balance Due (LC)]]&lt;&gt;0,$S$1-L708,0),"")</f>
        <v>0</v>
      </c>
      <c r="O708">
        <f>IFERROR(IF(Table1[[#This Row],[Type]]="IN",Table1[[#This Row],[C/D (LC)]],IF(Table1[[#This Row],[Type]]="CN",Table1[[#This Row],[C/D (LC)]],"")),"")</f>
        <v>7910.35</v>
      </c>
      <c r="P708" t="str">
        <f>VLOOKUP(Table1[[#This Row],[Cust '#]],ClientInfo!$A:$B,2,0)</f>
        <v>Client_08</v>
      </c>
    </row>
    <row r="709" spans="1:16">
      <c r="A709" t="s">
        <v>114</v>
      </c>
      <c r="B709" t="s">
        <v>12</v>
      </c>
      <c r="C709">
        <v>140010035</v>
      </c>
      <c r="D709" s="1">
        <v>45475</v>
      </c>
      <c r="E709">
        <v>6376.25</v>
      </c>
      <c r="F709">
        <v>0</v>
      </c>
      <c r="G709">
        <v>700001579</v>
      </c>
      <c r="H709" s="1">
        <v>45551</v>
      </c>
      <c r="I709">
        <f>YEAR(Table1[[#This Row],[Posting Date]])</f>
        <v>2024</v>
      </c>
      <c r="J709">
        <f>MONTH(Table1[[#This Row],[Posting Date]])</f>
        <v>7</v>
      </c>
      <c r="K709" t="str">
        <f>IF(Table1[[#This Row],[Type]]="IN",VLOOKUP(Table1[[#This Row],[Cust '#]],ClientInfo!$A:$D,4,0),"")</f>
        <v>NET30</v>
      </c>
      <c r="L709" s="1">
        <f>IF(K709="NET30",Table1[[#This Row],[Posting Date]]+30,IF(K709="NET15",Table1[[#This Row],[Posting Date]]+15,IF(K709="COD",Table1[[#This Row],[Posting Date]],"")))</f>
        <v>45505</v>
      </c>
      <c r="M709" s="4">
        <f>IFERROR(IF(Table1[[#This Row],[Type]]="IN",Table1[[#This Row],[RC Date]]-Table1[[#This Row],[Posting Date]],""),"")</f>
        <v>76</v>
      </c>
      <c r="N709">
        <f>IFERROR(IF(Table1[[#This Row],[Balance Due (LC)]]&lt;&gt;0,$S$1-L709,0),"")</f>
        <v>0</v>
      </c>
      <c r="O709">
        <f>IFERROR(IF(Table1[[#This Row],[Type]]="IN",Table1[[#This Row],[C/D (LC)]],IF(Table1[[#This Row],[Type]]="CN",Table1[[#This Row],[C/D (LC)]],"")),"")</f>
        <v>6376.25</v>
      </c>
      <c r="P709" t="str">
        <f>VLOOKUP(Table1[[#This Row],[Cust '#]],ClientInfo!$A:$B,2,0)</f>
        <v>Client_08</v>
      </c>
    </row>
    <row r="710" spans="1:16">
      <c r="A710" t="s">
        <v>114</v>
      </c>
      <c r="B710" t="s">
        <v>10</v>
      </c>
      <c r="C710">
        <v>700001044</v>
      </c>
      <c r="D710" s="1">
        <v>45481</v>
      </c>
      <c r="E710">
        <v>-32156.3</v>
      </c>
      <c r="F710">
        <v>0</v>
      </c>
      <c r="G710">
        <v>700001044</v>
      </c>
      <c r="H710" s="1">
        <v>45481</v>
      </c>
      <c r="I710">
        <f>YEAR(Table1[[#This Row],[Posting Date]])</f>
        <v>2024</v>
      </c>
      <c r="J710">
        <f>MONTH(Table1[[#This Row],[Posting Date]])</f>
        <v>7</v>
      </c>
      <c r="K710" t="str">
        <f>IF(Table1[[#This Row],[Type]]="IN",VLOOKUP(Table1[[#This Row],[Cust '#]],ClientInfo!$A:$D,4,0),"")</f>
        <v/>
      </c>
      <c r="L710" s="1" t="str">
        <f>IF(K710="NET30",Table1[[#This Row],[Posting Date]]+30,IF(K710="NET15",Table1[[#This Row],[Posting Date]]+15,IF(K710="COD",Table1[[#This Row],[Posting Date]],"")))</f>
        <v/>
      </c>
      <c r="M710" s="4" t="str">
        <f>IFERROR(IF(Table1[[#This Row],[Type]]="IN",Table1[[#This Row],[RC Date]]-Table1[[#This Row],[Posting Date]],""),"")</f>
        <v/>
      </c>
      <c r="N710">
        <f>IFERROR(IF(Table1[[#This Row],[Balance Due (LC)]]&lt;&gt;0,$S$1-L710,0),"")</f>
        <v>0</v>
      </c>
      <c r="O710" t="str">
        <f>IFERROR(IF(Table1[[#This Row],[Type]]="IN",Table1[[#This Row],[C/D (LC)]],IF(Table1[[#This Row],[Type]]="CN",Table1[[#This Row],[C/D (LC)]],"")),"")</f>
        <v/>
      </c>
      <c r="P710" t="str">
        <f>VLOOKUP(Table1[[#This Row],[Cust '#]],ClientInfo!$A:$B,2,0)</f>
        <v>Client_08</v>
      </c>
    </row>
    <row r="711" spans="1:16">
      <c r="A711" t="s">
        <v>114</v>
      </c>
      <c r="B711" t="s">
        <v>12</v>
      </c>
      <c r="C711">
        <v>140010349</v>
      </c>
      <c r="D711" s="1">
        <v>45482</v>
      </c>
      <c r="E711">
        <v>175</v>
      </c>
      <c r="F711">
        <v>0</v>
      </c>
      <c r="G711">
        <v>700001579</v>
      </c>
      <c r="H711" s="1">
        <v>45551</v>
      </c>
      <c r="I711">
        <f>YEAR(Table1[[#This Row],[Posting Date]])</f>
        <v>2024</v>
      </c>
      <c r="J711">
        <f>MONTH(Table1[[#This Row],[Posting Date]])</f>
        <v>7</v>
      </c>
      <c r="K711" t="str">
        <f>IF(Table1[[#This Row],[Type]]="IN",VLOOKUP(Table1[[#This Row],[Cust '#]],ClientInfo!$A:$D,4,0),"")</f>
        <v>NET30</v>
      </c>
      <c r="L711" s="1">
        <f>IF(K711="NET30",Table1[[#This Row],[Posting Date]]+30,IF(K711="NET15",Table1[[#This Row],[Posting Date]]+15,IF(K711="COD",Table1[[#This Row],[Posting Date]],"")))</f>
        <v>45512</v>
      </c>
      <c r="M711" s="4">
        <f>IFERROR(IF(Table1[[#This Row],[Type]]="IN",Table1[[#This Row],[RC Date]]-Table1[[#This Row],[Posting Date]],""),"")</f>
        <v>69</v>
      </c>
      <c r="N711">
        <f>IFERROR(IF(Table1[[#This Row],[Balance Due (LC)]]&lt;&gt;0,$S$1-L711,0),"")</f>
        <v>0</v>
      </c>
      <c r="O711">
        <f>IFERROR(IF(Table1[[#This Row],[Type]]="IN",Table1[[#This Row],[C/D (LC)]],IF(Table1[[#This Row],[Type]]="CN",Table1[[#This Row],[C/D (LC)]],"")),"")</f>
        <v>175</v>
      </c>
      <c r="P711" t="str">
        <f>VLOOKUP(Table1[[#This Row],[Cust '#]],ClientInfo!$A:$B,2,0)</f>
        <v>Client_08</v>
      </c>
    </row>
    <row r="712" spans="1:16">
      <c r="A712" t="s">
        <v>114</v>
      </c>
      <c r="B712" t="s">
        <v>12</v>
      </c>
      <c r="C712">
        <v>140010356</v>
      </c>
      <c r="D712" s="1">
        <v>45482</v>
      </c>
      <c r="E712">
        <v>6888.35</v>
      </c>
      <c r="F712">
        <v>0</v>
      </c>
      <c r="G712">
        <v>700001579</v>
      </c>
      <c r="H712" s="1">
        <v>45551</v>
      </c>
      <c r="I712">
        <f>YEAR(Table1[[#This Row],[Posting Date]])</f>
        <v>2024</v>
      </c>
      <c r="J712">
        <f>MONTH(Table1[[#This Row],[Posting Date]])</f>
        <v>7</v>
      </c>
      <c r="K712" t="str">
        <f>IF(Table1[[#This Row],[Type]]="IN",VLOOKUP(Table1[[#This Row],[Cust '#]],ClientInfo!$A:$D,4,0),"")</f>
        <v>NET30</v>
      </c>
      <c r="L712" s="1">
        <f>IF(K712="NET30",Table1[[#This Row],[Posting Date]]+30,IF(K712="NET15",Table1[[#This Row],[Posting Date]]+15,IF(K712="COD",Table1[[#This Row],[Posting Date]],"")))</f>
        <v>45512</v>
      </c>
      <c r="M712" s="4">
        <f>IFERROR(IF(Table1[[#This Row],[Type]]="IN",Table1[[#This Row],[RC Date]]-Table1[[#This Row],[Posting Date]],""),"")</f>
        <v>69</v>
      </c>
      <c r="N712">
        <f>IFERROR(IF(Table1[[#This Row],[Balance Due (LC)]]&lt;&gt;0,$S$1-L712,0),"")</f>
        <v>0</v>
      </c>
      <c r="O712">
        <f>IFERROR(IF(Table1[[#This Row],[Type]]="IN",Table1[[#This Row],[C/D (LC)]],IF(Table1[[#This Row],[Type]]="CN",Table1[[#This Row],[C/D (LC)]],"")),"")</f>
        <v>6888.35</v>
      </c>
      <c r="P712" t="str">
        <f>VLOOKUP(Table1[[#This Row],[Cust '#]],ClientInfo!$A:$B,2,0)</f>
        <v>Client_08</v>
      </c>
    </row>
    <row r="713" spans="1:16">
      <c r="A713" t="s">
        <v>114</v>
      </c>
      <c r="B713" t="s">
        <v>12</v>
      </c>
      <c r="C713">
        <v>140010666</v>
      </c>
      <c r="D713" s="1">
        <v>45489</v>
      </c>
      <c r="E713">
        <v>7979.2</v>
      </c>
      <c r="F713">
        <v>0</v>
      </c>
      <c r="G713">
        <v>700001579</v>
      </c>
      <c r="H713" s="1">
        <v>45551</v>
      </c>
      <c r="I713">
        <f>YEAR(Table1[[#This Row],[Posting Date]])</f>
        <v>2024</v>
      </c>
      <c r="J713">
        <f>MONTH(Table1[[#This Row],[Posting Date]])</f>
        <v>7</v>
      </c>
      <c r="K713" t="str">
        <f>IF(Table1[[#This Row],[Type]]="IN",VLOOKUP(Table1[[#This Row],[Cust '#]],ClientInfo!$A:$D,4,0),"")</f>
        <v>NET30</v>
      </c>
      <c r="L713" s="1">
        <f>IF(K713="NET30",Table1[[#This Row],[Posting Date]]+30,IF(K713="NET15",Table1[[#This Row],[Posting Date]]+15,IF(K713="COD",Table1[[#This Row],[Posting Date]],"")))</f>
        <v>45519</v>
      </c>
      <c r="M713" s="4">
        <f>IFERROR(IF(Table1[[#This Row],[Type]]="IN",Table1[[#This Row],[RC Date]]-Table1[[#This Row],[Posting Date]],""),"")</f>
        <v>62</v>
      </c>
      <c r="N713">
        <f>IFERROR(IF(Table1[[#This Row],[Balance Due (LC)]]&lt;&gt;0,$S$1-L713,0),"")</f>
        <v>0</v>
      </c>
      <c r="O713">
        <f>IFERROR(IF(Table1[[#This Row],[Type]]="IN",Table1[[#This Row],[C/D (LC)]],IF(Table1[[#This Row],[Type]]="CN",Table1[[#This Row],[C/D (LC)]],"")),"")</f>
        <v>7979.2</v>
      </c>
      <c r="P713" t="str">
        <f>VLOOKUP(Table1[[#This Row],[Cust '#]],ClientInfo!$A:$B,2,0)</f>
        <v>Client_08</v>
      </c>
    </row>
    <row r="714" spans="1:16">
      <c r="A714" t="s">
        <v>114</v>
      </c>
      <c r="B714" t="s">
        <v>12</v>
      </c>
      <c r="C714">
        <v>140010974</v>
      </c>
      <c r="D714" s="1">
        <v>45496</v>
      </c>
      <c r="E714">
        <v>6297.4</v>
      </c>
      <c r="F714">
        <v>0</v>
      </c>
      <c r="G714">
        <v>700001579</v>
      </c>
      <c r="H714" s="1">
        <v>45551</v>
      </c>
      <c r="I714">
        <f>YEAR(Table1[[#This Row],[Posting Date]])</f>
        <v>2024</v>
      </c>
      <c r="J714">
        <f>MONTH(Table1[[#This Row],[Posting Date]])</f>
        <v>7</v>
      </c>
      <c r="K714" t="str">
        <f>IF(Table1[[#This Row],[Type]]="IN",VLOOKUP(Table1[[#This Row],[Cust '#]],ClientInfo!$A:$D,4,0),"")</f>
        <v>NET30</v>
      </c>
      <c r="L714" s="1">
        <f>IF(K714="NET30",Table1[[#This Row],[Posting Date]]+30,IF(K714="NET15",Table1[[#This Row],[Posting Date]]+15,IF(K714="COD",Table1[[#This Row],[Posting Date]],"")))</f>
        <v>45526</v>
      </c>
      <c r="M714" s="4">
        <f>IFERROR(IF(Table1[[#This Row],[Type]]="IN",Table1[[#This Row],[RC Date]]-Table1[[#This Row],[Posting Date]],""),"")</f>
        <v>55</v>
      </c>
      <c r="N714">
        <f>IFERROR(IF(Table1[[#This Row],[Balance Due (LC)]]&lt;&gt;0,$S$1-L714,0),"")</f>
        <v>0</v>
      </c>
      <c r="O714">
        <f>IFERROR(IF(Table1[[#This Row],[Type]]="IN",Table1[[#This Row],[C/D (LC)]],IF(Table1[[#This Row],[Type]]="CN",Table1[[#This Row],[C/D (LC)]],"")),"")</f>
        <v>6297.4</v>
      </c>
      <c r="P714" t="str">
        <f>VLOOKUP(Table1[[#This Row],[Cust '#]],ClientInfo!$A:$B,2,0)</f>
        <v>Client_08</v>
      </c>
    </row>
    <row r="715" spans="1:16">
      <c r="A715" t="s">
        <v>114</v>
      </c>
      <c r="B715" t="s">
        <v>12</v>
      </c>
      <c r="C715">
        <v>140011297</v>
      </c>
      <c r="D715" s="1">
        <v>45503</v>
      </c>
      <c r="E715">
        <v>5795.35</v>
      </c>
      <c r="F715">
        <v>0</v>
      </c>
      <c r="G715">
        <v>700001579</v>
      </c>
      <c r="H715" s="1">
        <v>45551</v>
      </c>
      <c r="I715">
        <f>YEAR(Table1[[#This Row],[Posting Date]])</f>
        <v>2024</v>
      </c>
      <c r="J715">
        <f>MONTH(Table1[[#This Row],[Posting Date]])</f>
        <v>7</v>
      </c>
      <c r="K715" t="str">
        <f>IF(Table1[[#This Row],[Type]]="IN",VLOOKUP(Table1[[#This Row],[Cust '#]],ClientInfo!$A:$D,4,0),"")</f>
        <v>NET30</v>
      </c>
      <c r="L715" s="1">
        <f>IF(K715="NET30",Table1[[#This Row],[Posting Date]]+30,IF(K715="NET15",Table1[[#This Row],[Posting Date]]+15,IF(K715="COD",Table1[[#This Row],[Posting Date]],"")))</f>
        <v>45533</v>
      </c>
      <c r="M715" s="4">
        <f>IFERROR(IF(Table1[[#This Row],[Type]]="IN",Table1[[#This Row],[RC Date]]-Table1[[#This Row],[Posting Date]],""),"")</f>
        <v>48</v>
      </c>
      <c r="N715">
        <f>IFERROR(IF(Table1[[#This Row],[Balance Due (LC)]]&lt;&gt;0,$S$1-L715,0),"")</f>
        <v>0</v>
      </c>
      <c r="O715">
        <f>IFERROR(IF(Table1[[#This Row],[Type]]="IN",Table1[[#This Row],[C/D (LC)]],IF(Table1[[#This Row],[Type]]="CN",Table1[[#This Row],[C/D (LC)]],"")),"")</f>
        <v>5795.35</v>
      </c>
      <c r="P715" t="str">
        <f>VLOOKUP(Table1[[#This Row],[Cust '#]],ClientInfo!$A:$B,2,0)</f>
        <v>Client_08</v>
      </c>
    </row>
    <row r="716" spans="1:16">
      <c r="A716" t="s">
        <v>114</v>
      </c>
      <c r="B716" t="s">
        <v>13</v>
      </c>
      <c r="C716">
        <v>150000488</v>
      </c>
      <c r="D716" s="1">
        <v>45503</v>
      </c>
      <c r="E716">
        <v>-474</v>
      </c>
      <c r="F716">
        <v>0</v>
      </c>
      <c r="G716">
        <v>700001579</v>
      </c>
      <c r="H716" s="1">
        <v>45551</v>
      </c>
      <c r="I716">
        <f>YEAR(Table1[[#This Row],[Posting Date]])</f>
        <v>2024</v>
      </c>
      <c r="J716">
        <f>MONTH(Table1[[#This Row],[Posting Date]])</f>
        <v>7</v>
      </c>
      <c r="K716" t="str">
        <f>IF(Table1[[#This Row],[Type]]="IN",VLOOKUP(Table1[[#This Row],[Cust '#]],ClientInfo!$A:$D,4,0),"")</f>
        <v/>
      </c>
      <c r="L716" s="1" t="str">
        <f>IF(K716="NET30",Table1[[#This Row],[Posting Date]]+30,IF(K716="NET15",Table1[[#This Row],[Posting Date]]+15,IF(K716="COD",Table1[[#This Row],[Posting Date]],"")))</f>
        <v/>
      </c>
      <c r="M716" s="4" t="str">
        <f>IFERROR(IF(Table1[[#This Row],[Type]]="IN",Table1[[#This Row],[RC Date]]-Table1[[#This Row],[Posting Date]],""),"")</f>
        <v/>
      </c>
      <c r="N716">
        <f>IFERROR(IF(Table1[[#This Row],[Balance Due (LC)]]&lt;&gt;0,$S$1-L716,0),"")</f>
        <v>0</v>
      </c>
      <c r="O716">
        <f>IFERROR(IF(Table1[[#This Row],[Type]]="IN",Table1[[#This Row],[C/D (LC)]],IF(Table1[[#This Row],[Type]]="CN",Table1[[#This Row],[C/D (LC)]],"")),"")</f>
        <v>-474</v>
      </c>
      <c r="P716" t="str">
        <f>VLOOKUP(Table1[[#This Row],[Cust '#]],ClientInfo!$A:$B,2,0)</f>
        <v>Client_08</v>
      </c>
    </row>
    <row r="717" spans="1:16">
      <c r="A717" t="s">
        <v>114</v>
      </c>
      <c r="B717" t="s">
        <v>12</v>
      </c>
      <c r="C717">
        <v>140011500</v>
      </c>
      <c r="D717" s="1">
        <v>45506</v>
      </c>
      <c r="E717">
        <v>324</v>
      </c>
      <c r="F717">
        <v>0</v>
      </c>
      <c r="G717">
        <v>700001837</v>
      </c>
      <c r="H717" s="1">
        <v>45582</v>
      </c>
      <c r="I717">
        <f>YEAR(Table1[[#This Row],[Posting Date]])</f>
        <v>2024</v>
      </c>
      <c r="J717">
        <f>MONTH(Table1[[#This Row],[Posting Date]])</f>
        <v>8</v>
      </c>
      <c r="K717" t="str">
        <f>IF(Table1[[#This Row],[Type]]="IN",VLOOKUP(Table1[[#This Row],[Cust '#]],ClientInfo!$A:$D,4,0),"")</f>
        <v>NET30</v>
      </c>
      <c r="L717" s="1">
        <f>IF(K717="NET30",Table1[[#This Row],[Posting Date]]+30,IF(K717="NET15",Table1[[#This Row],[Posting Date]]+15,IF(K717="COD",Table1[[#This Row],[Posting Date]],"")))</f>
        <v>45536</v>
      </c>
      <c r="M717" s="4">
        <f>IFERROR(IF(Table1[[#This Row],[Type]]="IN",Table1[[#This Row],[RC Date]]-Table1[[#This Row],[Posting Date]],""),"")</f>
        <v>76</v>
      </c>
      <c r="N717">
        <f>IFERROR(IF(Table1[[#This Row],[Balance Due (LC)]]&lt;&gt;0,$S$1-L717,0),"")</f>
        <v>0</v>
      </c>
      <c r="O717">
        <f>IFERROR(IF(Table1[[#This Row],[Type]]="IN",Table1[[#This Row],[C/D (LC)]],IF(Table1[[#This Row],[Type]]="CN",Table1[[#This Row],[C/D (LC)]],"")),"")</f>
        <v>324</v>
      </c>
      <c r="P717" t="str">
        <f>VLOOKUP(Table1[[#This Row],[Cust '#]],ClientInfo!$A:$B,2,0)</f>
        <v>Client_08</v>
      </c>
    </row>
    <row r="718" spans="1:16">
      <c r="A718" t="s">
        <v>114</v>
      </c>
      <c r="B718" t="s">
        <v>12</v>
      </c>
      <c r="C718">
        <v>140011601</v>
      </c>
      <c r="D718" s="1">
        <v>45510</v>
      </c>
      <c r="E718">
        <v>5864.55</v>
      </c>
      <c r="F718">
        <v>0</v>
      </c>
      <c r="G718">
        <v>700001837</v>
      </c>
      <c r="H718" s="1">
        <v>45582</v>
      </c>
      <c r="I718">
        <f>YEAR(Table1[[#This Row],[Posting Date]])</f>
        <v>2024</v>
      </c>
      <c r="J718">
        <f>MONTH(Table1[[#This Row],[Posting Date]])</f>
        <v>8</v>
      </c>
      <c r="K718" t="str">
        <f>IF(Table1[[#This Row],[Type]]="IN",VLOOKUP(Table1[[#This Row],[Cust '#]],ClientInfo!$A:$D,4,0),"")</f>
        <v>NET30</v>
      </c>
      <c r="L718" s="1">
        <f>IF(K718="NET30",Table1[[#This Row],[Posting Date]]+30,IF(K718="NET15",Table1[[#This Row],[Posting Date]]+15,IF(K718="COD",Table1[[#This Row],[Posting Date]],"")))</f>
        <v>45540</v>
      </c>
      <c r="M718" s="4">
        <f>IFERROR(IF(Table1[[#This Row],[Type]]="IN",Table1[[#This Row],[RC Date]]-Table1[[#This Row],[Posting Date]],""),"")</f>
        <v>72</v>
      </c>
      <c r="N718">
        <f>IFERROR(IF(Table1[[#This Row],[Balance Due (LC)]]&lt;&gt;0,$S$1-L718,0),"")</f>
        <v>0</v>
      </c>
      <c r="O718">
        <f>IFERROR(IF(Table1[[#This Row],[Type]]="IN",Table1[[#This Row],[C/D (LC)]],IF(Table1[[#This Row],[Type]]="CN",Table1[[#This Row],[C/D (LC)]],"")),"")</f>
        <v>5864.55</v>
      </c>
      <c r="P718" t="str">
        <f>VLOOKUP(Table1[[#This Row],[Cust '#]],ClientInfo!$A:$B,2,0)</f>
        <v>Client_08</v>
      </c>
    </row>
    <row r="719" spans="1:16">
      <c r="A719" t="s">
        <v>114</v>
      </c>
      <c r="B719" t="s">
        <v>10</v>
      </c>
      <c r="C719">
        <v>700001266</v>
      </c>
      <c r="D719" s="1">
        <v>45511</v>
      </c>
      <c r="E719">
        <v>-26309.15</v>
      </c>
      <c r="F719">
        <v>0</v>
      </c>
      <c r="G719">
        <v>700001266</v>
      </c>
      <c r="H719" s="1">
        <v>45511</v>
      </c>
      <c r="I719">
        <f>YEAR(Table1[[#This Row],[Posting Date]])</f>
        <v>2024</v>
      </c>
      <c r="J719">
        <f>MONTH(Table1[[#This Row],[Posting Date]])</f>
        <v>8</v>
      </c>
      <c r="K719" t="str">
        <f>IF(Table1[[#This Row],[Type]]="IN",VLOOKUP(Table1[[#This Row],[Cust '#]],ClientInfo!$A:$D,4,0),"")</f>
        <v/>
      </c>
      <c r="L719" s="1" t="str">
        <f>IF(K719="NET30",Table1[[#This Row],[Posting Date]]+30,IF(K719="NET15",Table1[[#This Row],[Posting Date]]+15,IF(K719="COD",Table1[[#This Row],[Posting Date]],"")))</f>
        <v/>
      </c>
      <c r="M719" s="4" t="str">
        <f>IFERROR(IF(Table1[[#This Row],[Type]]="IN",Table1[[#This Row],[RC Date]]-Table1[[#This Row],[Posting Date]],""),"")</f>
        <v/>
      </c>
      <c r="N719">
        <f>IFERROR(IF(Table1[[#This Row],[Balance Due (LC)]]&lt;&gt;0,$S$1-L719,0),"")</f>
        <v>0</v>
      </c>
      <c r="O719" t="str">
        <f>IFERROR(IF(Table1[[#This Row],[Type]]="IN",Table1[[#This Row],[C/D (LC)]],IF(Table1[[#This Row],[Type]]="CN",Table1[[#This Row],[C/D (LC)]],"")),"")</f>
        <v/>
      </c>
      <c r="P719" t="str">
        <f>VLOOKUP(Table1[[#This Row],[Cust '#]],ClientInfo!$A:$B,2,0)</f>
        <v>Client_08</v>
      </c>
    </row>
    <row r="720" spans="1:16">
      <c r="A720" t="s">
        <v>114</v>
      </c>
      <c r="B720" t="s">
        <v>12</v>
      </c>
      <c r="C720">
        <v>140011920</v>
      </c>
      <c r="D720" s="1">
        <v>45517</v>
      </c>
      <c r="E720">
        <v>5760.9</v>
      </c>
      <c r="F720">
        <v>0</v>
      </c>
      <c r="G720">
        <v>700001837</v>
      </c>
      <c r="H720" s="1">
        <v>45582</v>
      </c>
      <c r="I720">
        <f>YEAR(Table1[[#This Row],[Posting Date]])</f>
        <v>2024</v>
      </c>
      <c r="J720">
        <f>MONTH(Table1[[#This Row],[Posting Date]])</f>
        <v>8</v>
      </c>
      <c r="K720" t="str">
        <f>IF(Table1[[#This Row],[Type]]="IN",VLOOKUP(Table1[[#This Row],[Cust '#]],ClientInfo!$A:$D,4,0),"")</f>
        <v>NET30</v>
      </c>
      <c r="L720" s="1">
        <f>IF(K720="NET30",Table1[[#This Row],[Posting Date]]+30,IF(K720="NET15",Table1[[#This Row],[Posting Date]]+15,IF(K720="COD",Table1[[#This Row],[Posting Date]],"")))</f>
        <v>45547</v>
      </c>
      <c r="M720" s="4">
        <f>IFERROR(IF(Table1[[#This Row],[Type]]="IN",Table1[[#This Row],[RC Date]]-Table1[[#This Row],[Posting Date]],""),"")</f>
        <v>65</v>
      </c>
      <c r="N720">
        <f>IFERROR(IF(Table1[[#This Row],[Balance Due (LC)]]&lt;&gt;0,$S$1-L720,0),"")</f>
        <v>0</v>
      </c>
      <c r="O720">
        <f>IFERROR(IF(Table1[[#This Row],[Type]]="IN",Table1[[#This Row],[C/D (LC)]],IF(Table1[[#This Row],[Type]]="CN",Table1[[#This Row],[C/D (LC)]],"")),"")</f>
        <v>5760.9</v>
      </c>
      <c r="P720" t="str">
        <f>VLOOKUP(Table1[[#This Row],[Cust '#]],ClientInfo!$A:$B,2,0)</f>
        <v>Client_08</v>
      </c>
    </row>
    <row r="721" spans="1:16">
      <c r="A721" t="s">
        <v>114</v>
      </c>
      <c r="B721" t="s">
        <v>12</v>
      </c>
      <c r="C721">
        <v>140012063</v>
      </c>
      <c r="D721" s="1">
        <v>45519</v>
      </c>
      <c r="E721">
        <v>47</v>
      </c>
      <c r="F721">
        <v>0</v>
      </c>
      <c r="G721">
        <v>700001837</v>
      </c>
      <c r="H721" s="1">
        <v>45582</v>
      </c>
      <c r="I721">
        <f>YEAR(Table1[[#This Row],[Posting Date]])</f>
        <v>2024</v>
      </c>
      <c r="J721">
        <f>MONTH(Table1[[#This Row],[Posting Date]])</f>
        <v>8</v>
      </c>
      <c r="K721" t="str">
        <f>IF(Table1[[#This Row],[Type]]="IN",VLOOKUP(Table1[[#This Row],[Cust '#]],ClientInfo!$A:$D,4,0),"")</f>
        <v>NET30</v>
      </c>
      <c r="L721" s="1">
        <f>IF(K721="NET30",Table1[[#This Row],[Posting Date]]+30,IF(K721="NET15",Table1[[#This Row],[Posting Date]]+15,IF(K721="COD",Table1[[#This Row],[Posting Date]],"")))</f>
        <v>45549</v>
      </c>
      <c r="M721" s="4">
        <f>IFERROR(IF(Table1[[#This Row],[Type]]="IN",Table1[[#This Row],[RC Date]]-Table1[[#This Row],[Posting Date]],""),"")</f>
        <v>63</v>
      </c>
      <c r="N721">
        <f>IFERROR(IF(Table1[[#This Row],[Balance Due (LC)]]&lt;&gt;0,$S$1-L721,0),"")</f>
        <v>0</v>
      </c>
      <c r="O721">
        <f>IFERROR(IF(Table1[[#This Row],[Type]]="IN",Table1[[#This Row],[C/D (LC)]],IF(Table1[[#This Row],[Type]]="CN",Table1[[#This Row],[C/D (LC)]],"")),"")</f>
        <v>47</v>
      </c>
      <c r="P721" t="str">
        <f>VLOOKUP(Table1[[#This Row],[Cust '#]],ClientInfo!$A:$B,2,0)</f>
        <v>Client_08</v>
      </c>
    </row>
    <row r="722" spans="1:16">
      <c r="A722" t="s">
        <v>114</v>
      </c>
      <c r="B722" t="s">
        <v>12</v>
      </c>
      <c r="C722">
        <v>140012227</v>
      </c>
      <c r="D722" s="1">
        <v>45524</v>
      </c>
      <c r="E722">
        <v>6507.5</v>
      </c>
      <c r="F722">
        <v>0</v>
      </c>
      <c r="G722">
        <v>700001837</v>
      </c>
      <c r="H722" s="1">
        <v>45582</v>
      </c>
      <c r="I722">
        <f>YEAR(Table1[[#This Row],[Posting Date]])</f>
        <v>2024</v>
      </c>
      <c r="J722">
        <f>MONTH(Table1[[#This Row],[Posting Date]])</f>
        <v>8</v>
      </c>
      <c r="K722" t="str">
        <f>IF(Table1[[#This Row],[Type]]="IN",VLOOKUP(Table1[[#This Row],[Cust '#]],ClientInfo!$A:$D,4,0),"")</f>
        <v>NET30</v>
      </c>
      <c r="L722" s="1">
        <f>IF(K722="NET30",Table1[[#This Row],[Posting Date]]+30,IF(K722="NET15",Table1[[#This Row],[Posting Date]]+15,IF(K722="COD",Table1[[#This Row],[Posting Date]],"")))</f>
        <v>45554</v>
      </c>
      <c r="M722" s="4">
        <f>IFERROR(IF(Table1[[#This Row],[Type]]="IN",Table1[[#This Row],[RC Date]]-Table1[[#This Row],[Posting Date]],""),"")</f>
        <v>58</v>
      </c>
      <c r="N722">
        <f>IFERROR(IF(Table1[[#This Row],[Balance Due (LC)]]&lt;&gt;0,$S$1-L722,0),"")</f>
        <v>0</v>
      </c>
      <c r="O722">
        <f>IFERROR(IF(Table1[[#This Row],[Type]]="IN",Table1[[#This Row],[C/D (LC)]],IF(Table1[[#This Row],[Type]]="CN",Table1[[#This Row],[C/D (LC)]],"")),"")</f>
        <v>6507.5</v>
      </c>
      <c r="P722" t="str">
        <f>VLOOKUP(Table1[[#This Row],[Cust '#]],ClientInfo!$A:$B,2,0)</f>
        <v>Client_08</v>
      </c>
    </row>
    <row r="723" spans="1:16">
      <c r="A723" t="s">
        <v>114</v>
      </c>
      <c r="B723" t="s">
        <v>12</v>
      </c>
      <c r="C723">
        <v>140012274</v>
      </c>
      <c r="D723" s="1">
        <v>45525</v>
      </c>
      <c r="E723">
        <v>708</v>
      </c>
      <c r="F723">
        <v>0</v>
      </c>
      <c r="G723">
        <v>700001837</v>
      </c>
      <c r="H723" s="1">
        <v>45582</v>
      </c>
      <c r="I723">
        <f>YEAR(Table1[[#This Row],[Posting Date]])</f>
        <v>2024</v>
      </c>
      <c r="J723">
        <f>MONTH(Table1[[#This Row],[Posting Date]])</f>
        <v>8</v>
      </c>
      <c r="K723" t="str">
        <f>IF(Table1[[#This Row],[Type]]="IN",VLOOKUP(Table1[[#This Row],[Cust '#]],ClientInfo!$A:$D,4,0),"")</f>
        <v>NET30</v>
      </c>
      <c r="L723" s="1">
        <f>IF(K723="NET30",Table1[[#This Row],[Posting Date]]+30,IF(K723="NET15",Table1[[#This Row],[Posting Date]]+15,IF(K723="COD",Table1[[#This Row],[Posting Date]],"")))</f>
        <v>45555</v>
      </c>
      <c r="M723" s="4">
        <f>IFERROR(IF(Table1[[#This Row],[Type]]="IN",Table1[[#This Row],[RC Date]]-Table1[[#This Row],[Posting Date]],""),"")</f>
        <v>57</v>
      </c>
      <c r="N723">
        <f>IFERROR(IF(Table1[[#This Row],[Balance Due (LC)]]&lt;&gt;0,$S$1-L723,0),"")</f>
        <v>0</v>
      </c>
      <c r="O723">
        <f>IFERROR(IF(Table1[[#This Row],[Type]]="IN",Table1[[#This Row],[C/D (LC)]],IF(Table1[[#This Row],[Type]]="CN",Table1[[#This Row],[C/D (LC)]],"")),"")</f>
        <v>708</v>
      </c>
      <c r="P723" t="str">
        <f>VLOOKUP(Table1[[#This Row],[Cust '#]],ClientInfo!$A:$B,2,0)</f>
        <v>Client_08</v>
      </c>
    </row>
    <row r="724" spans="1:16">
      <c r="A724" t="s">
        <v>114</v>
      </c>
      <c r="B724" t="s">
        <v>12</v>
      </c>
      <c r="C724">
        <v>140012313</v>
      </c>
      <c r="D724" s="1">
        <v>45525</v>
      </c>
      <c r="E724">
        <v>38</v>
      </c>
      <c r="F724">
        <v>0</v>
      </c>
      <c r="G724">
        <v>700001837</v>
      </c>
      <c r="H724" s="1">
        <v>45582</v>
      </c>
      <c r="I724">
        <f>YEAR(Table1[[#This Row],[Posting Date]])</f>
        <v>2024</v>
      </c>
      <c r="J724">
        <f>MONTH(Table1[[#This Row],[Posting Date]])</f>
        <v>8</v>
      </c>
      <c r="K724" t="str">
        <f>IF(Table1[[#This Row],[Type]]="IN",VLOOKUP(Table1[[#This Row],[Cust '#]],ClientInfo!$A:$D,4,0),"")</f>
        <v>NET30</v>
      </c>
      <c r="L724" s="1">
        <f>IF(K724="NET30",Table1[[#This Row],[Posting Date]]+30,IF(K724="NET15",Table1[[#This Row],[Posting Date]]+15,IF(K724="COD",Table1[[#This Row],[Posting Date]],"")))</f>
        <v>45555</v>
      </c>
      <c r="M724" s="4">
        <f>IFERROR(IF(Table1[[#This Row],[Type]]="IN",Table1[[#This Row],[RC Date]]-Table1[[#This Row],[Posting Date]],""),"")</f>
        <v>57</v>
      </c>
      <c r="N724">
        <f>IFERROR(IF(Table1[[#This Row],[Balance Due (LC)]]&lt;&gt;0,$S$1-L724,0),"")</f>
        <v>0</v>
      </c>
      <c r="O724">
        <f>IFERROR(IF(Table1[[#This Row],[Type]]="IN",Table1[[#This Row],[C/D (LC)]],IF(Table1[[#This Row],[Type]]="CN",Table1[[#This Row],[C/D (LC)]],"")),"")</f>
        <v>38</v>
      </c>
      <c r="P724" t="str">
        <f>VLOOKUP(Table1[[#This Row],[Cust '#]],ClientInfo!$A:$B,2,0)</f>
        <v>Client_08</v>
      </c>
    </row>
    <row r="725" spans="1:16">
      <c r="A725" t="s">
        <v>114</v>
      </c>
      <c r="B725" t="s">
        <v>13</v>
      </c>
      <c r="C725">
        <v>150000534</v>
      </c>
      <c r="D725" s="1">
        <v>45528</v>
      </c>
      <c r="E725">
        <v>-193</v>
      </c>
      <c r="F725">
        <v>0</v>
      </c>
      <c r="G725">
        <v>700001579</v>
      </c>
      <c r="H725" s="1">
        <v>45551</v>
      </c>
      <c r="I725">
        <f>YEAR(Table1[[#This Row],[Posting Date]])</f>
        <v>2024</v>
      </c>
      <c r="J725">
        <f>MONTH(Table1[[#This Row],[Posting Date]])</f>
        <v>8</v>
      </c>
      <c r="K725" t="str">
        <f>IF(Table1[[#This Row],[Type]]="IN",VLOOKUP(Table1[[#This Row],[Cust '#]],ClientInfo!$A:$D,4,0),"")</f>
        <v/>
      </c>
      <c r="L725" s="1" t="str">
        <f>IF(K725="NET30",Table1[[#This Row],[Posting Date]]+30,IF(K725="NET15",Table1[[#This Row],[Posting Date]]+15,IF(K725="COD",Table1[[#This Row],[Posting Date]],"")))</f>
        <v/>
      </c>
      <c r="M725" s="4" t="str">
        <f>IFERROR(IF(Table1[[#This Row],[Type]]="IN",Table1[[#This Row],[RC Date]]-Table1[[#This Row],[Posting Date]],""),"")</f>
        <v/>
      </c>
      <c r="N725">
        <f>IFERROR(IF(Table1[[#This Row],[Balance Due (LC)]]&lt;&gt;0,$S$1-L725,0),"")</f>
        <v>0</v>
      </c>
      <c r="O725">
        <f>IFERROR(IF(Table1[[#This Row],[Type]]="IN",Table1[[#This Row],[C/D (LC)]],IF(Table1[[#This Row],[Type]]="CN",Table1[[#This Row],[C/D (LC)]],"")),"")</f>
        <v>-193</v>
      </c>
      <c r="P725" t="str">
        <f>VLOOKUP(Table1[[#This Row],[Cust '#]],ClientInfo!$A:$B,2,0)</f>
        <v>Client_08</v>
      </c>
    </row>
    <row r="726" spans="1:16">
      <c r="A726" t="s">
        <v>114</v>
      </c>
      <c r="B726" t="s">
        <v>12</v>
      </c>
      <c r="C726">
        <v>140012567</v>
      </c>
      <c r="D726" s="1">
        <v>45531</v>
      </c>
      <c r="E726">
        <v>6607.7</v>
      </c>
      <c r="F726">
        <v>0</v>
      </c>
      <c r="G726">
        <v>700001837</v>
      </c>
      <c r="H726" s="1">
        <v>45582</v>
      </c>
      <c r="I726">
        <f>YEAR(Table1[[#This Row],[Posting Date]])</f>
        <v>2024</v>
      </c>
      <c r="J726">
        <f>MONTH(Table1[[#This Row],[Posting Date]])</f>
        <v>8</v>
      </c>
      <c r="K726" t="str">
        <f>IF(Table1[[#This Row],[Type]]="IN",VLOOKUP(Table1[[#This Row],[Cust '#]],ClientInfo!$A:$D,4,0),"")</f>
        <v>NET30</v>
      </c>
      <c r="L726" s="1">
        <f>IF(K726="NET30",Table1[[#This Row],[Posting Date]]+30,IF(K726="NET15",Table1[[#This Row],[Posting Date]]+15,IF(K726="COD",Table1[[#This Row],[Posting Date]],"")))</f>
        <v>45561</v>
      </c>
      <c r="M726" s="4">
        <f>IFERROR(IF(Table1[[#This Row],[Type]]="IN",Table1[[#This Row],[RC Date]]-Table1[[#This Row],[Posting Date]],""),"")</f>
        <v>51</v>
      </c>
      <c r="N726">
        <f>IFERROR(IF(Table1[[#This Row],[Balance Due (LC)]]&lt;&gt;0,$S$1-L726,0),"")</f>
        <v>0</v>
      </c>
      <c r="O726">
        <f>IFERROR(IF(Table1[[#This Row],[Type]]="IN",Table1[[#This Row],[C/D (LC)]],IF(Table1[[#This Row],[Type]]="CN",Table1[[#This Row],[C/D (LC)]],"")),"")</f>
        <v>6607.7</v>
      </c>
      <c r="P726" t="str">
        <f>VLOOKUP(Table1[[#This Row],[Cust '#]],ClientInfo!$A:$B,2,0)</f>
        <v>Client_08</v>
      </c>
    </row>
    <row r="727" spans="1:16">
      <c r="A727" t="s">
        <v>114</v>
      </c>
      <c r="B727" t="s">
        <v>13</v>
      </c>
      <c r="C727">
        <v>150000565</v>
      </c>
      <c r="D727" s="1">
        <v>45532</v>
      </c>
      <c r="E727">
        <v>-241.6</v>
      </c>
      <c r="F727">
        <v>0</v>
      </c>
      <c r="G727">
        <v>700001579</v>
      </c>
      <c r="H727" s="1">
        <v>45551</v>
      </c>
      <c r="I727">
        <f>YEAR(Table1[[#This Row],[Posting Date]])</f>
        <v>2024</v>
      </c>
      <c r="J727">
        <f>MONTH(Table1[[#This Row],[Posting Date]])</f>
        <v>8</v>
      </c>
      <c r="K727" t="str">
        <f>IF(Table1[[#This Row],[Type]]="IN",VLOOKUP(Table1[[#This Row],[Cust '#]],ClientInfo!$A:$D,4,0),"")</f>
        <v/>
      </c>
      <c r="L727" s="1" t="str">
        <f>IF(K727="NET30",Table1[[#This Row],[Posting Date]]+30,IF(K727="NET15",Table1[[#This Row],[Posting Date]]+15,IF(K727="COD",Table1[[#This Row],[Posting Date]],"")))</f>
        <v/>
      </c>
      <c r="M727" s="4" t="str">
        <f>IFERROR(IF(Table1[[#This Row],[Type]]="IN",Table1[[#This Row],[RC Date]]-Table1[[#This Row],[Posting Date]],""),"")</f>
        <v/>
      </c>
      <c r="N727">
        <f>IFERROR(IF(Table1[[#This Row],[Balance Due (LC)]]&lt;&gt;0,$S$1-L727,0),"")</f>
        <v>0</v>
      </c>
      <c r="O727">
        <f>IFERROR(IF(Table1[[#This Row],[Type]]="IN",Table1[[#This Row],[C/D (LC)]],IF(Table1[[#This Row],[Type]]="CN",Table1[[#This Row],[C/D (LC)]],"")),"")</f>
        <v>-241.6</v>
      </c>
      <c r="P727" t="str">
        <f>VLOOKUP(Table1[[#This Row],[Cust '#]],ClientInfo!$A:$B,2,0)</f>
        <v>Client_08</v>
      </c>
    </row>
    <row r="728" spans="1:16">
      <c r="A728" t="s">
        <v>114</v>
      </c>
      <c r="B728" t="s">
        <v>12</v>
      </c>
      <c r="C728">
        <v>140012877</v>
      </c>
      <c r="D728" s="1">
        <v>45538</v>
      </c>
      <c r="E728">
        <v>7053.1</v>
      </c>
      <c r="F728">
        <v>0</v>
      </c>
      <c r="G728">
        <v>700002004</v>
      </c>
      <c r="H728" s="1">
        <v>45608</v>
      </c>
      <c r="I728">
        <f>YEAR(Table1[[#This Row],[Posting Date]])</f>
        <v>2024</v>
      </c>
      <c r="J728">
        <f>MONTH(Table1[[#This Row],[Posting Date]])</f>
        <v>9</v>
      </c>
      <c r="K728" t="str">
        <f>IF(Table1[[#This Row],[Type]]="IN",VLOOKUP(Table1[[#This Row],[Cust '#]],ClientInfo!$A:$D,4,0),"")</f>
        <v>NET30</v>
      </c>
      <c r="L728" s="1">
        <f>IF(K728="NET30",Table1[[#This Row],[Posting Date]]+30,IF(K728="NET15",Table1[[#This Row],[Posting Date]]+15,IF(K728="COD",Table1[[#This Row],[Posting Date]],"")))</f>
        <v>45568</v>
      </c>
      <c r="M728" s="4">
        <f>IFERROR(IF(Table1[[#This Row],[Type]]="IN",Table1[[#This Row],[RC Date]]-Table1[[#This Row],[Posting Date]],""),"")</f>
        <v>70</v>
      </c>
      <c r="N728">
        <f>IFERROR(IF(Table1[[#This Row],[Balance Due (LC)]]&lt;&gt;0,$S$1-L728,0),"")</f>
        <v>0</v>
      </c>
      <c r="O728">
        <f>IFERROR(IF(Table1[[#This Row],[Type]]="IN",Table1[[#This Row],[C/D (LC)]],IF(Table1[[#This Row],[Type]]="CN",Table1[[#This Row],[C/D (LC)]],"")),"")</f>
        <v>7053.1</v>
      </c>
      <c r="P728" t="str">
        <f>VLOOKUP(Table1[[#This Row],[Cust '#]],ClientInfo!$A:$B,2,0)</f>
        <v>Client_08</v>
      </c>
    </row>
    <row r="729" spans="1:16">
      <c r="A729" t="s">
        <v>114</v>
      </c>
      <c r="B729" t="s">
        <v>13</v>
      </c>
      <c r="C729">
        <v>150000588</v>
      </c>
      <c r="D729" s="1">
        <v>45542</v>
      </c>
      <c r="E729">
        <v>-26</v>
      </c>
      <c r="F729">
        <v>0</v>
      </c>
      <c r="G729">
        <v>700001837</v>
      </c>
      <c r="H729" s="1">
        <v>45582</v>
      </c>
      <c r="I729">
        <f>YEAR(Table1[[#This Row],[Posting Date]])</f>
        <v>2024</v>
      </c>
      <c r="J729">
        <f>MONTH(Table1[[#This Row],[Posting Date]])</f>
        <v>9</v>
      </c>
      <c r="K729" t="str">
        <f>IF(Table1[[#This Row],[Type]]="IN",VLOOKUP(Table1[[#This Row],[Cust '#]],ClientInfo!$A:$D,4,0),"")</f>
        <v/>
      </c>
      <c r="L729" s="1" t="str">
        <f>IF(K729="NET30",Table1[[#This Row],[Posting Date]]+30,IF(K729="NET15",Table1[[#This Row],[Posting Date]]+15,IF(K729="COD",Table1[[#This Row],[Posting Date]],"")))</f>
        <v/>
      </c>
      <c r="M729" s="4" t="str">
        <f>IFERROR(IF(Table1[[#This Row],[Type]]="IN",Table1[[#This Row],[RC Date]]-Table1[[#This Row],[Posting Date]],""),"")</f>
        <v/>
      </c>
      <c r="N729">
        <f>IFERROR(IF(Table1[[#This Row],[Balance Due (LC)]]&lt;&gt;0,$S$1-L729,0),"")</f>
        <v>0</v>
      </c>
      <c r="O729">
        <f>IFERROR(IF(Table1[[#This Row],[Type]]="IN",Table1[[#This Row],[C/D (LC)]],IF(Table1[[#This Row],[Type]]="CN",Table1[[#This Row],[C/D (LC)]],"")),"")</f>
        <v>-26</v>
      </c>
      <c r="P729" t="str">
        <f>VLOOKUP(Table1[[#This Row],[Cust '#]],ClientInfo!$A:$B,2,0)</f>
        <v>Client_08</v>
      </c>
    </row>
    <row r="730" spans="1:16">
      <c r="A730" t="s">
        <v>114</v>
      </c>
      <c r="B730" t="s">
        <v>12</v>
      </c>
      <c r="C730">
        <v>140013212</v>
      </c>
      <c r="D730" s="1">
        <v>45545</v>
      </c>
      <c r="E730">
        <v>8979.9</v>
      </c>
      <c r="F730">
        <v>0</v>
      </c>
      <c r="G730">
        <v>700002004</v>
      </c>
      <c r="H730" s="1">
        <v>45608</v>
      </c>
      <c r="I730">
        <f>YEAR(Table1[[#This Row],[Posting Date]])</f>
        <v>2024</v>
      </c>
      <c r="J730">
        <f>MONTH(Table1[[#This Row],[Posting Date]])</f>
        <v>9</v>
      </c>
      <c r="K730" t="str">
        <f>IF(Table1[[#This Row],[Type]]="IN",VLOOKUP(Table1[[#This Row],[Cust '#]],ClientInfo!$A:$D,4,0),"")</f>
        <v>NET30</v>
      </c>
      <c r="L730" s="1">
        <f>IF(K730="NET30",Table1[[#This Row],[Posting Date]]+30,IF(K730="NET15",Table1[[#This Row],[Posting Date]]+15,IF(K730="COD",Table1[[#This Row],[Posting Date]],"")))</f>
        <v>45575</v>
      </c>
      <c r="M730" s="4">
        <f>IFERROR(IF(Table1[[#This Row],[Type]]="IN",Table1[[#This Row],[RC Date]]-Table1[[#This Row],[Posting Date]],""),"")</f>
        <v>63</v>
      </c>
      <c r="N730">
        <f>IFERROR(IF(Table1[[#This Row],[Balance Due (LC)]]&lt;&gt;0,$S$1-L730,0),"")</f>
        <v>0</v>
      </c>
      <c r="O730">
        <f>IFERROR(IF(Table1[[#This Row],[Type]]="IN",Table1[[#This Row],[C/D (LC)]],IF(Table1[[#This Row],[Type]]="CN",Table1[[#This Row],[C/D (LC)]],"")),"")</f>
        <v>8979.9</v>
      </c>
      <c r="P730" t="str">
        <f>VLOOKUP(Table1[[#This Row],[Cust '#]],ClientInfo!$A:$B,2,0)</f>
        <v>Client_08</v>
      </c>
    </row>
    <row r="731" spans="1:16">
      <c r="A731" t="s">
        <v>114</v>
      </c>
      <c r="B731" t="s">
        <v>10</v>
      </c>
      <c r="C731">
        <v>700001579</v>
      </c>
      <c r="D731" s="1">
        <v>45551</v>
      </c>
      <c r="E731">
        <v>-32602.95</v>
      </c>
      <c r="F731">
        <v>0</v>
      </c>
      <c r="G731">
        <v>700001579</v>
      </c>
      <c r="H731" s="1">
        <v>45551</v>
      </c>
      <c r="I731">
        <f>YEAR(Table1[[#This Row],[Posting Date]])</f>
        <v>2024</v>
      </c>
      <c r="J731">
        <f>MONTH(Table1[[#This Row],[Posting Date]])</f>
        <v>9</v>
      </c>
      <c r="K731" t="str">
        <f>IF(Table1[[#This Row],[Type]]="IN",VLOOKUP(Table1[[#This Row],[Cust '#]],ClientInfo!$A:$D,4,0),"")</f>
        <v/>
      </c>
      <c r="L731" s="1" t="str">
        <f>IF(K731="NET30",Table1[[#This Row],[Posting Date]]+30,IF(K731="NET15",Table1[[#This Row],[Posting Date]]+15,IF(K731="COD",Table1[[#This Row],[Posting Date]],"")))</f>
        <v/>
      </c>
      <c r="M731" s="4" t="str">
        <f>IFERROR(IF(Table1[[#This Row],[Type]]="IN",Table1[[#This Row],[RC Date]]-Table1[[#This Row],[Posting Date]],""),"")</f>
        <v/>
      </c>
      <c r="N731">
        <f>IFERROR(IF(Table1[[#This Row],[Balance Due (LC)]]&lt;&gt;0,$S$1-L731,0),"")</f>
        <v>0</v>
      </c>
      <c r="O731" t="str">
        <f>IFERROR(IF(Table1[[#This Row],[Type]]="IN",Table1[[#This Row],[C/D (LC)]],IF(Table1[[#This Row],[Type]]="CN",Table1[[#This Row],[C/D (LC)]],"")),"")</f>
        <v/>
      </c>
      <c r="P731" t="str">
        <f>VLOOKUP(Table1[[#This Row],[Cust '#]],ClientInfo!$A:$B,2,0)</f>
        <v>Client_08</v>
      </c>
    </row>
    <row r="732" spans="1:16">
      <c r="A732" t="s">
        <v>114</v>
      </c>
      <c r="B732" t="s">
        <v>12</v>
      </c>
      <c r="C732">
        <v>140013564</v>
      </c>
      <c r="D732" s="1">
        <v>45552</v>
      </c>
      <c r="E732">
        <v>8542</v>
      </c>
      <c r="F732">
        <v>0</v>
      </c>
      <c r="G732">
        <v>700002004</v>
      </c>
      <c r="H732" s="1">
        <v>45608</v>
      </c>
      <c r="I732">
        <f>YEAR(Table1[[#This Row],[Posting Date]])</f>
        <v>2024</v>
      </c>
      <c r="J732">
        <f>MONTH(Table1[[#This Row],[Posting Date]])</f>
        <v>9</v>
      </c>
      <c r="K732" t="str">
        <f>IF(Table1[[#This Row],[Type]]="IN",VLOOKUP(Table1[[#This Row],[Cust '#]],ClientInfo!$A:$D,4,0),"")</f>
        <v>NET30</v>
      </c>
      <c r="L732" s="1">
        <f>IF(K732="NET30",Table1[[#This Row],[Posting Date]]+30,IF(K732="NET15",Table1[[#This Row],[Posting Date]]+15,IF(K732="COD",Table1[[#This Row],[Posting Date]],"")))</f>
        <v>45582</v>
      </c>
      <c r="M732" s="4">
        <f>IFERROR(IF(Table1[[#This Row],[Type]]="IN",Table1[[#This Row],[RC Date]]-Table1[[#This Row],[Posting Date]],""),"")</f>
        <v>56</v>
      </c>
      <c r="N732">
        <f>IFERROR(IF(Table1[[#This Row],[Balance Due (LC)]]&lt;&gt;0,$S$1-L732,0),"")</f>
        <v>0</v>
      </c>
      <c r="O732">
        <f>IFERROR(IF(Table1[[#This Row],[Type]]="IN",Table1[[#This Row],[C/D (LC)]],IF(Table1[[#This Row],[Type]]="CN",Table1[[#This Row],[C/D (LC)]],"")),"")</f>
        <v>8542</v>
      </c>
      <c r="P732" t="str">
        <f>VLOOKUP(Table1[[#This Row],[Cust '#]],ClientInfo!$A:$B,2,0)</f>
        <v>Client_08</v>
      </c>
    </row>
    <row r="733" spans="1:16">
      <c r="A733" t="s">
        <v>114</v>
      </c>
      <c r="B733" t="s">
        <v>12</v>
      </c>
      <c r="C733">
        <v>140013875</v>
      </c>
      <c r="D733" s="1">
        <v>45559</v>
      </c>
      <c r="E733">
        <v>4374.8999999999996</v>
      </c>
      <c r="F733">
        <v>0</v>
      </c>
      <c r="G733">
        <v>700002004</v>
      </c>
      <c r="H733" s="1">
        <v>45608</v>
      </c>
      <c r="I733">
        <f>YEAR(Table1[[#This Row],[Posting Date]])</f>
        <v>2024</v>
      </c>
      <c r="J733">
        <f>MONTH(Table1[[#This Row],[Posting Date]])</f>
        <v>9</v>
      </c>
      <c r="K733" t="str">
        <f>IF(Table1[[#This Row],[Type]]="IN",VLOOKUP(Table1[[#This Row],[Cust '#]],ClientInfo!$A:$D,4,0),"")</f>
        <v>NET30</v>
      </c>
      <c r="L733" s="1">
        <f>IF(K733="NET30",Table1[[#This Row],[Posting Date]]+30,IF(K733="NET15",Table1[[#This Row],[Posting Date]]+15,IF(K733="COD",Table1[[#This Row],[Posting Date]],"")))</f>
        <v>45589</v>
      </c>
      <c r="M733" s="4">
        <f>IFERROR(IF(Table1[[#This Row],[Type]]="IN",Table1[[#This Row],[RC Date]]-Table1[[#This Row],[Posting Date]],""),"")</f>
        <v>49</v>
      </c>
      <c r="N733">
        <f>IFERROR(IF(Table1[[#This Row],[Balance Due (LC)]]&lt;&gt;0,$S$1-L733,0),"")</f>
        <v>0</v>
      </c>
      <c r="O733">
        <f>IFERROR(IF(Table1[[#This Row],[Type]]="IN",Table1[[#This Row],[C/D (LC)]],IF(Table1[[#This Row],[Type]]="CN",Table1[[#This Row],[C/D (LC)]],"")),"")</f>
        <v>4374.8999999999996</v>
      </c>
      <c r="P733" t="str">
        <f>VLOOKUP(Table1[[#This Row],[Cust '#]],ClientInfo!$A:$B,2,0)</f>
        <v>Client_08</v>
      </c>
    </row>
    <row r="734" spans="1:16">
      <c r="A734" t="s">
        <v>114</v>
      </c>
      <c r="B734" t="s">
        <v>13</v>
      </c>
      <c r="C734">
        <v>150000603</v>
      </c>
      <c r="D734" s="1">
        <v>45562</v>
      </c>
      <c r="E734">
        <v>-73</v>
      </c>
      <c r="F734">
        <v>0</v>
      </c>
      <c r="G734">
        <v>700001837</v>
      </c>
      <c r="H734" s="1">
        <v>45582</v>
      </c>
      <c r="I734">
        <f>YEAR(Table1[[#This Row],[Posting Date]])</f>
        <v>2024</v>
      </c>
      <c r="J734">
        <f>MONTH(Table1[[#This Row],[Posting Date]])</f>
        <v>9</v>
      </c>
      <c r="K734" t="str">
        <f>IF(Table1[[#This Row],[Type]]="IN",VLOOKUP(Table1[[#This Row],[Cust '#]],ClientInfo!$A:$D,4,0),"")</f>
        <v/>
      </c>
      <c r="L734" s="1" t="str">
        <f>IF(K734="NET30",Table1[[#This Row],[Posting Date]]+30,IF(K734="NET15",Table1[[#This Row],[Posting Date]]+15,IF(K734="COD",Table1[[#This Row],[Posting Date]],"")))</f>
        <v/>
      </c>
      <c r="M734" s="4" t="str">
        <f>IFERROR(IF(Table1[[#This Row],[Type]]="IN",Table1[[#This Row],[RC Date]]-Table1[[#This Row],[Posting Date]],""),"")</f>
        <v/>
      </c>
      <c r="N734">
        <f>IFERROR(IF(Table1[[#This Row],[Balance Due (LC)]]&lt;&gt;0,$S$1-L734,0),"")</f>
        <v>0</v>
      </c>
      <c r="O734">
        <f>IFERROR(IF(Table1[[#This Row],[Type]]="IN",Table1[[#This Row],[C/D (LC)]],IF(Table1[[#This Row],[Type]]="CN",Table1[[#This Row],[C/D (LC)]],"")),"")</f>
        <v>-73</v>
      </c>
      <c r="P734" t="str">
        <f>VLOOKUP(Table1[[#This Row],[Cust '#]],ClientInfo!$A:$B,2,0)</f>
        <v>Client_08</v>
      </c>
    </row>
    <row r="735" spans="1:16">
      <c r="A735" t="s">
        <v>114</v>
      </c>
      <c r="B735" t="s">
        <v>13</v>
      </c>
      <c r="C735">
        <v>150000621</v>
      </c>
      <c r="D735" s="1">
        <v>45563</v>
      </c>
      <c r="E735">
        <v>-132</v>
      </c>
      <c r="F735">
        <v>0</v>
      </c>
      <c r="G735">
        <v>700001837</v>
      </c>
      <c r="H735" s="1">
        <v>45582</v>
      </c>
      <c r="I735">
        <f>YEAR(Table1[[#This Row],[Posting Date]])</f>
        <v>2024</v>
      </c>
      <c r="J735">
        <f>MONTH(Table1[[#This Row],[Posting Date]])</f>
        <v>9</v>
      </c>
      <c r="K735" t="str">
        <f>IF(Table1[[#This Row],[Type]]="IN",VLOOKUP(Table1[[#This Row],[Cust '#]],ClientInfo!$A:$D,4,0),"")</f>
        <v/>
      </c>
      <c r="L735" s="1" t="str">
        <f>IF(K735="NET30",Table1[[#This Row],[Posting Date]]+30,IF(K735="NET15",Table1[[#This Row],[Posting Date]]+15,IF(K735="COD",Table1[[#This Row],[Posting Date]],"")))</f>
        <v/>
      </c>
      <c r="M735" s="4" t="str">
        <f>IFERROR(IF(Table1[[#This Row],[Type]]="IN",Table1[[#This Row],[RC Date]]-Table1[[#This Row],[Posting Date]],""),"")</f>
        <v/>
      </c>
      <c r="N735">
        <f>IFERROR(IF(Table1[[#This Row],[Balance Due (LC)]]&lt;&gt;0,$S$1-L735,0),"")</f>
        <v>0</v>
      </c>
      <c r="O735">
        <f>IFERROR(IF(Table1[[#This Row],[Type]]="IN",Table1[[#This Row],[C/D (LC)]],IF(Table1[[#This Row],[Type]]="CN",Table1[[#This Row],[C/D (LC)]],"")),"")</f>
        <v>-132</v>
      </c>
      <c r="P735" t="str">
        <f>VLOOKUP(Table1[[#This Row],[Cust '#]],ClientInfo!$A:$B,2,0)</f>
        <v>Client_08</v>
      </c>
    </row>
    <row r="736" spans="1:16">
      <c r="A736" t="s">
        <v>114</v>
      </c>
      <c r="B736" t="s">
        <v>13</v>
      </c>
      <c r="C736">
        <v>150000622</v>
      </c>
      <c r="D736" s="1">
        <v>45563</v>
      </c>
      <c r="E736">
        <v>-96</v>
      </c>
      <c r="F736">
        <v>0</v>
      </c>
      <c r="G736">
        <v>700001837</v>
      </c>
      <c r="H736" s="1">
        <v>45582</v>
      </c>
      <c r="I736">
        <f>YEAR(Table1[[#This Row],[Posting Date]])</f>
        <v>2024</v>
      </c>
      <c r="J736">
        <f>MONTH(Table1[[#This Row],[Posting Date]])</f>
        <v>9</v>
      </c>
      <c r="K736" t="str">
        <f>IF(Table1[[#This Row],[Type]]="IN",VLOOKUP(Table1[[#This Row],[Cust '#]],ClientInfo!$A:$D,4,0),"")</f>
        <v/>
      </c>
      <c r="L736" s="1" t="str">
        <f>IF(K736="NET30",Table1[[#This Row],[Posting Date]]+30,IF(K736="NET15",Table1[[#This Row],[Posting Date]]+15,IF(K736="COD",Table1[[#This Row],[Posting Date]],"")))</f>
        <v/>
      </c>
      <c r="M736" s="4" t="str">
        <f>IFERROR(IF(Table1[[#This Row],[Type]]="IN",Table1[[#This Row],[RC Date]]-Table1[[#This Row],[Posting Date]],""),"")</f>
        <v/>
      </c>
      <c r="N736">
        <f>IFERROR(IF(Table1[[#This Row],[Balance Due (LC)]]&lt;&gt;0,$S$1-L736,0),"")</f>
        <v>0</v>
      </c>
      <c r="O736">
        <f>IFERROR(IF(Table1[[#This Row],[Type]]="IN",Table1[[#This Row],[C/D (LC)]],IF(Table1[[#This Row],[Type]]="CN",Table1[[#This Row],[C/D (LC)]],"")),"")</f>
        <v>-96</v>
      </c>
      <c r="P736" t="str">
        <f>VLOOKUP(Table1[[#This Row],[Cust '#]],ClientInfo!$A:$B,2,0)</f>
        <v>Client_08</v>
      </c>
    </row>
    <row r="737" spans="1:16">
      <c r="A737" t="s">
        <v>114</v>
      </c>
      <c r="B737" t="s">
        <v>12</v>
      </c>
      <c r="C737">
        <v>140014195</v>
      </c>
      <c r="D737" s="1">
        <v>45565</v>
      </c>
      <c r="E737">
        <v>4255.3999999999996</v>
      </c>
      <c r="F737">
        <v>0</v>
      </c>
      <c r="G737">
        <v>700002004</v>
      </c>
      <c r="H737" s="1">
        <v>45608</v>
      </c>
      <c r="I737">
        <f>YEAR(Table1[[#This Row],[Posting Date]])</f>
        <v>2024</v>
      </c>
      <c r="J737">
        <f>MONTH(Table1[[#This Row],[Posting Date]])</f>
        <v>9</v>
      </c>
      <c r="K737" t="str">
        <f>IF(Table1[[#This Row],[Type]]="IN",VLOOKUP(Table1[[#This Row],[Cust '#]],ClientInfo!$A:$D,4,0),"")</f>
        <v>NET30</v>
      </c>
      <c r="L737" s="1">
        <f>IF(K737="NET30",Table1[[#This Row],[Posting Date]]+30,IF(K737="NET15",Table1[[#This Row],[Posting Date]]+15,IF(K737="COD",Table1[[#This Row],[Posting Date]],"")))</f>
        <v>45595</v>
      </c>
      <c r="M737" s="4">
        <f>IFERROR(IF(Table1[[#This Row],[Type]]="IN",Table1[[#This Row],[RC Date]]-Table1[[#This Row],[Posting Date]],""),"")</f>
        <v>43</v>
      </c>
      <c r="N737">
        <f>IFERROR(IF(Table1[[#This Row],[Balance Due (LC)]]&lt;&gt;0,$S$1-L737,0),"")</f>
        <v>0</v>
      </c>
      <c r="O737">
        <f>IFERROR(IF(Table1[[#This Row],[Type]]="IN",Table1[[#This Row],[C/D (LC)]],IF(Table1[[#This Row],[Type]]="CN",Table1[[#This Row],[C/D (LC)]],"")),"")</f>
        <v>4255.3999999999996</v>
      </c>
      <c r="P737" t="str">
        <f>VLOOKUP(Table1[[#This Row],[Cust '#]],ClientInfo!$A:$B,2,0)</f>
        <v>Client_08</v>
      </c>
    </row>
    <row r="738" spans="1:16">
      <c r="A738" t="s">
        <v>114</v>
      </c>
      <c r="B738" t="s">
        <v>12</v>
      </c>
      <c r="C738">
        <v>140014211</v>
      </c>
      <c r="D738" s="1">
        <v>45565</v>
      </c>
      <c r="E738">
        <v>1033.2</v>
      </c>
      <c r="F738">
        <v>0</v>
      </c>
      <c r="G738">
        <v>700002004</v>
      </c>
      <c r="H738" s="1">
        <v>45608</v>
      </c>
      <c r="I738">
        <f>YEAR(Table1[[#This Row],[Posting Date]])</f>
        <v>2024</v>
      </c>
      <c r="J738">
        <f>MONTH(Table1[[#This Row],[Posting Date]])</f>
        <v>9</v>
      </c>
      <c r="K738" t="str">
        <f>IF(Table1[[#This Row],[Type]]="IN",VLOOKUP(Table1[[#This Row],[Cust '#]],ClientInfo!$A:$D,4,0),"")</f>
        <v>NET30</v>
      </c>
      <c r="L738" s="1">
        <f>IF(K738="NET30",Table1[[#This Row],[Posting Date]]+30,IF(K738="NET15",Table1[[#This Row],[Posting Date]]+15,IF(K738="COD",Table1[[#This Row],[Posting Date]],"")))</f>
        <v>45595</v>
      </c>
      <c r="M738" s="4">
        <f>IFERROR(IF(Table1[[#This Row],[Type]]="IN",Table1[[#This Row],[RC Date]]-Table1[[#This Row],[Posting Date]],""),"")</f>
        <v>43</v>
      </c>
      <c r="N738">
        <f>IFERROR(IF(Table1[[#This Row],[Balance Due (LC)]]&lt;&gt;0,$S$1-L738,0),"")</f>
        <v>0</v>
      </c>
      <c r="O738">
        <f>IFERROR(IF(Table1[[#This Row],[Type]]="IN",Table1[[#This Row],[C/D (LC)]],IF(Table1[[#This Row],[Type]]="CN",Table1[[#This Row],[C/D (LC)]],"")),"")</f>
        <v>1033.2</v>
      </c>
      <c r="P738" t="str">
        <f>VLOOKUP(Table1[[#This Row],[Cust '#]],ClientInfo!$A:$B,2,0)</f>
        <v>Client_08</v>
      </c>
    </row>
    <row r="739" spans="1:16">
      <c r="A739" t="s">
        <v>114</v>
      </c>
      <c r="B739" t="s">
        <v>12</v>
      </c>
      <c r="C739">
        <v>140014257</v>
      </c>
      <c r="D739" s="1">
        <v>45566</v>
      </c>
      <c r="E739">
        <v>1594.2</v>
      </c>
      <c r="F739">
        <v>0</v>
      </c>
      <c r="G739">
        <v>700002256</v>
      </c>
      <c r="H739" s="1">
        <v>45639</v>
      </c>
      <c r="I739">
        <f>YEAR(Table1[[#This Row],[Posting Date]])</f>
        <v>2024</v>
      </c>
      <c r="J739">
        <f>MONTH(Table1[[#This Row],[Posting Date]])</f>
        <v>10</v>
      </c>
      <c r="K739" t="str">
        <f>IF(Table1[[#This Row],[Type]]="IN",VLOOKUP(Table1[[#This Row],[Cust '#]],ClientInfo!$A:$D,4,0),"")</f>
        <v>NET30</v>
      </c>
      <c r="L739" s="1">
        <f>IF(K739="NET30",Table1[[#This Row],[Posting Date]]+30,IF(K739="NET15",Table1[[#This Row],[Posting Date]]+15,IF(K739="COD",Table1[[#This Row],[Posting Date]],"")))</f>
        <v>45596</v>
      </c>
      <c r="M739" s="4">
        <f>IFERROR(IF(Table1[[#This Row],[Type]]="IN",Table1[[#This Row],[RC Date]]-Table1[[#This Row],[Posting Date]],""),"")</f>
        <v>73</v>
      </c>
      <c r="N739">
        <f>IFERROR(IF(Table1[[#This Row],[Balance Due (LC)]]&lt;&gt;0,$S$1-L739,0),"")</f>
        <v>0</v>
      </c>
      <c r="O739">
        <f>IFERROR(IF(Table1[[#This Row],[Type]]="IN",Table1[[#This Row],[C/D (LC)]],IF(Table1[[#This Row],[Type]]="CN",Table1[[#This Row],[C/D (LC)]],"")),"")</f>
        <v>1594.2</v>
      </c>
      <c r="P739" t="str">
        <f>VLOOKUP(Table1[[#This Row],[Cust '#]],ClientInfo!$A:$B,2,0)</f>
        <v>Client_08</v>
      </c>
    </row>
    <row r="740" spans="1:16">
      <c r="A740" t="s">
        <v>114</v>
      </c>
      <c r="B740" t="s">
        <v>12</v>
      </c>
      <c r="C740">
        <v>140014563</v>
      </c>
      <c r="D740" s="1">
        <v>45573</v>
      </c>
      <c r="E740">
        <v>7983.7</v>
      </c>
      <c r="F740">
        <v>0</v>
      </c>
      <c r="G740">
        <v>700002256</v>
      </c>
      <c r="H740" s="1">
        <v>45639</v>
      </c>
      <c r="I740">
        <f>YEAR(Table1[[#This Row],[Posting Date]])</f>
        <v>2024</v>
      </c>
      <c r="J740">
        <f>MONTH(Table1[[#This Row],[Posting Date]])</f>
        <v>10</v>
      </c>
      <c r="K740" t="str">
        <f>IF(Table1[[#This Row],[Type]]="IN",VLOOKUP(Table1[[#This Row],[Cust '#]],ClientInfo!$A:$D,4,0),"")</f>
        <v>NET30</v>
      </c>
      <c r="L740" s="1">
        <f>IF(K740="NET30",Table1[[#This Row],[Posting Date]]+30,IF(K740="NET15",Table1[[#This Row],[Posting Date]]+15,IF(K740="COD",Table1[[#This Row],[Posting Date]],"")))</f>
        <v>45603</v>
      </c>
      <c r="M740" s="4">
        <f>IFERROR(IF(Table1[[#This Row],[Type]]="IN",Table1[[#This Row],[RC Date]]-Table1[[#This Row],[Posting Date]],""),"")</f>
        <v>66</v>
      </c>
      <c r="N740">
        <f>IFERROR(IF(Table1[[#This Row],[Balance Due (LC)]]&lt;&gt;0,$S$1-L740,0),"")</f>
        <v>0</v>
      </c>
      <c r="O740">
        <f>IFERROR(IF(Table1[[#This Row],[Type]]="IN",Table1[[#This Row],[C/D (LC)]],IF(Table1[[#This Row],[Type]]="CN",Table1[[#This Row],[C/D (LC)]],"")),"")</f>
        <v>7983.7</v>
      </c>
      <c r="P740" t="str">
        <f>VLOOKUP(Table1[[#This Row],[Cust '#]],ClientInfo!$A:$B,2,0)</f>
        <v>Client_08</v>
      </c>
    </row>
    <row r="741" spans="1:16">
      <c r="A741" t="s">
        <v>114</v>
      </c>
      <c r="B741" t="s">
        <v>12</v>
      </c>
      <c r="C741">
        <v>140014857</v>
      </c>
      <c r="D741" s="1">
        <v>45580</v>
      </c>
      <c r="E741">
        <v>5960.5</v>
      </c>
      <c r="F741">
        <v>0</v>
      </c>
      <c r="G741">
        <v>700002256</v>
      </c>
      <c r="H741" s="1">
        <v>45639</v>
      </c>
      <c r="I741">
        <f>YEAR(Table1[[#This Row],[Posting Date]])</f>
        <v>2024</v>
      </c>
      <c r="J741">
        <f>MONTH(Table1[[#This Row],[Posting Date]])</f>
        <v>10</v>
      </c>
      <c r="K741" t="str">
        <f>IF(Table1[[#This Row],[Type]]="IN",VLOOKUP(Table1[[#This Row],[Cust '#]],ClientInfo!$A:$D,4,0),"")</f>
        <v>NET30</v>
      </c>
      <c r="L741" s="1">
        <f>IF(K741="NET30",Table1[[#This Row],[Posting Date]]+30,IF(K741="NET15",Table1[[#This Row],[Posting Date]]+15,IF(K741="COD",Table1[[#This Row],[Posting Date]],"")))</f>
        <v>45610</v>
      </c>
      <c r="M741" s="4">
        <f>IFERROR(IF(Table1[[#This Row],[Type]]="IN",Table1[[#This Row],[RC Date]]-Table1[[#This Row],[Posting Date]],""),"")</f>
        <v>59</v>
      </c>
      <c r="N741">
        <f>IFERROR(IF(Table1[[#This Row],[Balance Due (LC)]]&lt;&gt;0,$S$1-L741,0),"")</f>
        <v>0</v>
      </c>
      <c r="O741">
        <f>IFERROR(IF(Table1[[#This Row],[Type]]="IN",Table1[[#This Row],[C/D (LC)]],IF(Table1[[#This Row],[Type]]="CN",Table1[[#This Row],[C/D (LC)]],"")),"")</f>
        <v>5960.5</v>
      </c>
      <c r="P741" t="str">
        <f>VLOOKUP(Table1[[#This Row],[Cust '#]],ClientInfo!$A:$B,2,0)</f>
        <v>Client_08</v>
      </c>
    </row>
    <row r="742" spans="1:16">
      <c r="A742" t="s">
        <v>114</v>
      </c>
      <c r="B742" t="s">
        <v>13</v>
      </c>
      <c r="C742">
        <v>150000654</v>
      </c>
      <c r="D742" s="1">
        <v>45581</v>
      </c>
      <c r="E742">
        <v>-45.7</v>
      </c>
      <c r="F742">
        <v>0</v>
      </c>
      <c r="G742">
        <v>700002004</v>
      </c>
      <c r="H742" s="1">
        <v>45608</v>
      </c>
      <c r="I742">
        <f>YEAR(Table1[[#This Row],[Posting Date]])</f>
        <v>2024</v>
      </c>
      <c r="J742">
        <f>MONTH(Table1[[#This Row],[Posting Date]])</f>
        <v>10</v>
      </c>
      <c r="K742" t="str">
        <f>IF(Table1[[#This Row],[Type]]="IN",VLOOKUP(Table1[[#This Row],[Cust '#]],ClientInfo!$A:$D,4,0),"")</f>
        <v/>
      </c>
      <c r="L742" s="1" t="str">
        <f>IF(K742="NET30",Table1[[#This Row],[Posting Date]]+30,IF(K742="NET15",Table1[[#This Row],[Posting Date]]+15,IF(K742="COD",Table1[[#This Row],[Posting Date]],"")))</f>
        <v/>
      </c>
      <c r="M742" s="4" t="str">
        <f>IFERROR(IF(Table1[[#This Row],[Type]]="IN",Table1[[#This Row],[RC Date]]-Table1[[#This Row],[Posting Date]],""),"")</f>
        <v/>
      </c>
      <c r="N742">
        <f>IFERROR(IF(Table1[[#This Row],[Balance Due (LC)]]&lt;&gt;0,$S$1-L742,0),"")</f>
        <v>0</v>
      </c>
      <c r="O742">
        <f>IFERROR(IF(Table1[[#This Row],[Type]]="IN",Table1[[#This Row],[C/D (LC)]],IF(Table1[[#This Row],[Type]]="CN",Table1[[#This Row],[C/D (LC)]],"")),"")</f>
        <v>-45.7</v>
      </c>
      <c r="P742" t="str">
        <f>VLOOKUP(Table1[[#This Row],[Cust '#]],ClientInfo!$A:$B,2,0)</f>
        <v>Client_08</v>
      </c>
    </row>
    <row r="743" spans="1:16">
      <c r="A743" t="s">
        <v>114</v>
      </c>
      <c r="B743" t="s">
        <v>10</v>
      </c>
      <c r="C743">
        <v>700001837</v>
      </c>
      <c r="D743" s="1">
        <v>45582</v>
      </c>
      <c r="E743">
        <v>-25530.65</v>
      </c>
      <c r="F743">
        <v>0</v>
      </c>
      <c r="G743">
        <v>700001837</v>
      </c>
      <c r="H743" s="1">
        <v>45582</v>
      </c>
      <c r="I743">
        <f>YEAR(Table1[[#This Row],[Posting Date]])</f>
        <v>2024</v>
      </c>
      <c r="J743">
        <f>MONTH(Table1[[#This Row],[Posting Date]])</f>
        <v>10</v>
      </c>
      <c r="K743" t="str">
        <f>IF(Table1[[#This Row],[Type]]="IN",VLOOKUP(Table1[[#This Row],[Cust '#]],ClientInfo!$A:$D,4,0),"")</f>
        <v/>
      </c>
      <c r="L743" s="1" t="str">
        <f>IF(K743="NET30",Table1[[#This Row],[Posting Date]]+30,IF(K743="NET15",Table1[[#This Row],[Posting Date]]+15,IF(K743="COD",Table1[[#This Row],[Posting Date]],"")))</f>
        <v/>
      </c>
      <c r="M743" s="4" t="str">
        <f>IFERROR(IF(Table1[[#This Row],[Type]]="IN",Table1[[#This Row],[RC Date]]-Table1[[#This Row],[Posting Date]],""),"")</f>
        <v/>
      </c>
      <c r="N743">
        <f>IFERROR(IF(Table1[[#This Row],[Balance Due (LC)]]&lt;&gt;0,$S$1-L743,0),"")</f>
        <v>0</v>
      </c>
      <c r="O743" t="str">
        <f>IFERROR(IF(Table1[[#This Row],[Type]]="IN",Table1[[#This Row],[C/D (LC)]],IF(Table1[[#This Row],[Type]]="CN",Table1[[#This Row],[C/D (LC)]],"")),"")</f>
        <v/>
      </c>
      <c r="P743" t="str">
        <f>VLOOKUP(Table1[[#This Row],[Cust '#]],ClientInfo!$A:$B,2,0)</f>
        <v>Client_08</v>
      </c>
    </row>
    <row r="744" spans="1:16">
      <c r="A744" t="s">
        <v>114</v>
      </c>
      <c r="B744" t="s">
        <v>12</v>
      </c>
      <c r="C744">
        <v>140015203</v>
      </c>
      <c r="D744" s="1">
        <v>45587</v>
      </c>
      <c r="E744">
        <v>8699.4</v>
      </c>
      <c r="F744">
        <v>0</v>
      </c>
      <c r="G744">
        <v>700002256</v>
      </c>
      <c r="H744" s="1">
        <v>45639</v>
      </c>
      <c r="I744">
        <f>YEAR(Table1[[#This Row],[Posting Date]])</f>
        <v>2024</v>
      </c>
      <c r="J744">
        <f>MONTH(Table1[[#This Row],[Posting Date]])</f>
        <v>10</v>
      </c>
      <c r="K744" t="str">
        <f>IF(Table1[[#This Row],[Type]]="IN",VLOOKUP(Table1[[#This Row],[Cust '#]],ClientInfo!$A:$D,4,0),"")</f>
        <v>NET30</v>
      </c>
      <c r="L744" s="1">
        <f>IF(K744="NET30",Table1[[#This Row],[Posting Date]]+30,IF(K744="NET15",Table1[[#This Row],[Posting Date]]+15,IF(K744="COD",Table1[[#This Row],[Posting Date]],"")))</f>
        <v>45617</v>
      </c>
      <c r="M744" s="4">
        <f>IFERROR(IF(Table1[[#This Row],[Type]]="IN",Table1[[#This Row],[RC Date]]-Table1[[#This Row],[Posting Date]],""),"")</f>
        <v>52</v>
      </c>
      <c r="N744">
        <f>IFERROR(IF(Table1[[#This Row],[Balance Due (LC)]]&lt;&gt;0,$S$1-L744,0),"")</f>
        <v>0</v>
      </c>
      <c r="O744">
        <f>IFERROR(IF(Table1[[#This Row],[Type]]="IN",Table1[[#This Row],[C/D (LC)]],IF(Table1[[#This Row],[Type]]="CN",Table1[[#This Row],[C/D (LC)]],"")),"")</f>
        <v>8699.4</v>
      </c>
      <c r="P744" t="str">
        <f>VLOOKUP(Table1[[#This Row],[Cust '#]],ClientInfo!$A:$B,2,0)</f>
        <v>Client_08</v>
      </c>
    </row>
    <row r="745" spans="1:16">
      <c r="A745" t="s">
        <v>114</v>
      </c>
      <c r="B745" t="s">
        <v>12</v>
      </c>
      <c r="C745">
        <v>140015537</v>
      </c>
      <c r="D745" s="1">
        <v>45594</v>
      </c>
      <c r="E745">
        <v>5210.5</v>
      </c>
      <c r="F745">
        <v>0</v>
      </c>
      <c r="G745">
        <v>700002256</v>
      </c>
      <c r="H745" s="1">
        <v>45639</v>
      </c>
      <c r="I745">
        <f>YEAR(Table1[[#This Row],[Posting Date]])</f>
        <v>2024</v>
      </c>
      <c r="J745">
        <f>MONTH(Table1[[#This Row],[Posting Date]])</f>
        <v>10</v>
      </c>
      <c r="K745" t="str">
        <f>IF(Table1[[#This Row],[Type]]="IN",VLOOKUP(Table1[[#This Row],[Cust '#]],ClientInfo!$A:$D,4,0),"")</f>
        <v>NET30</v>
      </c>
      <c r="L745" s="1">
        <f>IF(K745="NET30",Table1[[#This Row],[Posting Date]]+30,IF(K745="NET15",Table1[[#This Row],[Posting Date]]+15,IF(K745="COD",Table1[[#This Row],[Posting Date]],"")))</f>
        <v>45624</v>
      </c>
      <c r="M745" s="4">
        <f>IFERROR(IF(Table1[[#This Row],[Type]]="IN",Table1[[#This Row],[RC Date]]-Table1[[#This Row],[Posting Date]],""),"")</f>
        <v>45</v>
      </c>
      <c r="N745">
        <f>IFERROR(IF(Table1[[#This Row],[Balance Due (LC)]]&lt;&gt;0,$S$1-L745,0),"")</f>
        <v>0</v>
      </c>
      <c r="O745">
        <f>IFERROR(IF(Table1[[#This Row],[Type]]="IN",Table1[[#This Row],[C/D (LC)]],IF(Table1[[#This Row],[Type]]="CN",Table1[[#This Row],[C/D (LC)]],"")),"")</f>
        <v>5210.5</v>
      </c>
      <c r="P745" t="str">
        <f>VLOOKUP(Table1[[#This Row],[Cust '#]],ClientInfo!$A:$B,2,0)</f>
        <v>Client_08</v>
      </c>
    </row>
    <row r="746" spans="1:16">
      <c r="A746" t="s">
        <v>114</v>
      </c>
      <c r="B746" t="s">
        <v>12</v>
      </c>
      <c r="C746">
        <v>140015874</v>
      </c>
      <c r="D746" s="1">
        <v>45601</v>
      </c>
      <c r="E746">
        <v>8340.1</v>
      </c>
      <c r="F746">
        <v>0</v>
      </c>
      <c r="G746">
        <v>700002372</v>
      </c>
      <c r="H746" s="1">
        <v>45653</v>
      </c>
      <c r="I746">
        <f>YEAR(Table1[[#This Row],[Posting Date]])</f>
        <v>2024</v>
      </c>
      <c r="J746">
        <f>MONTH(Table1[[#This Row],[Posting Date]])</f>
        <v>11</v>
      </c>
      <c r="K746" t="str">
        <f>IF(Table1[[#This Row],[Type]]="IN",VLOOKUP(Table1[[#This Row],[Cust '#]],ClientInfo!$A:$D,4,0),"")</f>
        <v>NET30</v>
      </c>
      <c r="L746" s="1">
        <f>IF(K746="NET30",Table1[[#This Row],[Posting Date]]+30,IF(K746="NET15",Table1[[#This Row],[Posting Date]]+15,IF(K746="COD",Table1[[#This Row],[Posting Date]],"")))</f>
        <v>45631</v>
      </c>
      <c r="M746" s="4">
        <f>IFERROR(IF(Table1[[#This Row],[Type]]="IN",Table1[[#This Row],[RC Date]]-Table1[[#This Row],[Posting Date]],""),"")</f>
        <v>52</v>
      </c>
      <c r="N746">
        <f>IFERROR(IF(Table1[[#This Row],[Balance Due (LC)]]&lt;&gt;0,$S$1-L746,0),"")</f>
        <v>0</v>
      </c>
      <c r="O746">
        <f>IFERROR(IF(Table1[[#This Row],[Type]]="IN",Table1[[#This Row],[C/D (LC)]],IF(Table1[[#This Row],[Type]]="CN",Table1[[#This Row],[C/D (LC)]],"")),"")</f>
        <v>8340.1</v>
      </c>
      <c r="P746" t="str">
        <f>VLOOKUP(Table1[[#This Row],[Cust '#]],ClientInfo!$A:$B,2,0)</f>
        <v>Client_08</v>
      </c>
    </row>
    <row r="747" spans="1:16">
      <c r="A747" t="s">
        <v>114</v>
      </c>
      <c r="B747" t="s">
        <v>13</v>
      </c>
      <c r="C747">
        <v>150000685</v>
      </c>
      <c r="D747" s="1">
        <v>45604</v>
      </c>
      <c r="E747">
        <v>-7.7</v>
      </c>
      <c r="F747">
        <v>0</v>
      </c>
      <c r="G747">
        <v>700002256</v>
      </c>
      <c r="H747" s="1">
        <v>45639</v>
      </c>
      <c r="I747">
        <f>YEAR(Table1[[#This Row],[Posting Date]])</f>
        <v>2024</v>
      </c>
      <c r="J747">
        <f>MONTH(Table1[[#This Row],[Posting Date]])</f>
        <v>11</v>
      </c>
      <c r="K747" t="str">
        <f>IF(Table1[[#This Row],[Type]]="IN",VLOOKUP(Table1[[#This Row],[Cust '#]],ClientInfo!$A:$D,4,0),"")</f>
        <v/>
      </c>
      <c r="L747" s="1" t="str">
        <f>IF(K747="NET30",Table1[[#This Row],[Posting Date]]+30,IF(K747="NET15",Table1[[#This Row],[Posting Date]]+15,IF(K747="COD",Table1[[#This Row],[Posting Date]],"")))</f>
        <v/>
      </c>
      <c r="M747" s="4" t="str">
        <f>IFERROR(IF(Table1[[#This Row],[Type]]="IN",Table1[[#This Row],[RC Date]]-Table1[[#This Row],[Posting Date]],""),"")</f>
        <v/>
      </c>
      <c r="N747">
        <f>IFERROR(IF(Table1[[#This Row],[Balance Due (LC)]]&lt;&gt;0,$S$1-L747,0),"")</f>
        <v>0</v>
      </c>
      <c r="O747">
        <f>IFERROR(IF(Table1[[#This Row],[Type]]="IN",Table1[[#This Row],[C/D (LC)]],IF(Table1[[#This Row],[Type]]="CN",Table1[[#This Row],[C/D (LC)]],"")),"")</f>
        <v>-7.7</v>
      </c>
      <c r="P747" t="str">
        <f>VLOOKUP(Table1[[#This Row],[Cust '#]],ClientInfo!$A:$B,2,0)</f>
        <v>Client_08</v>
      </c>
    </row>
    <row r="748" spans="1:16">
      <c r="A748" t="s">
        <v>114</v>
      </c>
      <c r="B748" t="s">
        <v>12</v>
      </c>
      <c r="C748">
        <v>140016216</v>
      </c>
      <c r="D748" s="1">
        <v>45608</v>
      </c>
      <c r="E748">
        <v>7655.2</v>
      </c>
      <c r="F748">
        <v>0</v>
      </c>
      <c r="G748">
        <v>700002372</v>
      </c>
      <c r="H748" s="1">
        <v>45653</v>
      </c>
      <c r="I748">
        <f>YEAR(Table1[[#This Row],[Posting Date]])</f>
        <v>2024</v>
      </c>
      <c r="J748">
        <f>MONTH(Table1[[#This Row],[Posting Date]])</f>
        <v>11</v>
      </c>
      <c r="K748" t="str">
        <f>IF(Table1[[#This Row],[Type]]="IN",VLOOKUP(Table1[[#This Row],[Cust '#]],ClientInfo!$A:$D,4,0),"")</f>
        <v>NET30</v>
      </c>
      <c r="L748" s="1">
        <f>IF(K748="NET30",Table1[[#This Row],[Posting Date]]+30,IF(K748="NET15",Table1[[#This Row],[Posting Date]]+15,IF(K748="COD",Table1[[#This Row],[Posting Date]],"")))</f>
        <v>45638</v>
      </c>
      <c r="M748" s="4">
        <f>IFERROR(IF(Table1[[#This Row],[Type]]="IN",Table1[[#This Row],[RC Date]]-Table1[[#This Row],[Posting Date]],""),"")</f>
        <v>45</v>
      </c>
      <c r="N748">
        <f>IFERROR(IF(Table1[[#This Row],[Balance Due (LC)]]&lt;&gt;0,$S$1-L748,0),"")</f>
        <v>0</v>
      </c>
      <c r="O748">
        <f>IFERROR(IF(Table1[[#This Row],[Type]]="IN",Table1[[#This Row],[C/D (LC)]],IF(Table1[[#This Row],[Type]]="CN",Table1[[#This Row],[C/D (LC)]],"")),"")</f>
        <v>7655.2</v>
      </c>
      <c r="P748" t="str">
        <f>VLOOKUP(Table1[[#This Row],[Cust '#]],ClientInfo!$A:$B,2,0)</f>
        <v>Client_08</v>
      </c>
    </row>
    <row r="749" spans="1:16">
      <c r="A749" t="s">
        <v>114</v>
      </c>
      <c r="B749" t="s">
        <v>10</v>
      </c>
      <c r="C749">
        <v>700002004</v>
      </c>
      <c r="D749" s="1">
        <v>45608</v>
      </c>
      <c r="E749">
        <v>-34192.800000000003</v>
      </c>
      <c r="F749">
        <v>0</v>
      </c>
      <c r="G749">
        <v>700002004</v>
      </c>
      <c r="H749" s="1">
        <v>45608</v>
      </c>
      <c r="I749">
        <f>YEAR(Table1[[#This Row],[Posting Date]])</f>
        <v>2024</v>
      </c>
      <c r="J749">
        <f>MONTH(Table1[[#This Row],[Posting Date]])</f>
        <v>11</v>
      </c>
      <c r="K749" t="str">
        <f>IF(Table1[[#This Row],[Type]]="IN",VLOOKUP(Table1[[#This Row],[Cust '#]],ClientInfo!$A:$D,4,0),"")</f>
        <v/>
      </c>
      <c r="L749" s="1" t="str">
        <f>IF(K749="NET30",Table1[[#This Row],[Posting Date]]+30,IF(K749="NET15",Table1[[#This Row],[Posting Date]]+15,IF(K749="COD",Table1[[#This Row],[Posting Date]],"")))</f>
        <v/>
      </c>
      <c r="M749" s="4" t="str">
        <f>IFERROR(IF(Table1[[#This Row],[Type]]="IN",Table1[[#This Row],[RC Date]]-Table1[[#This Row],[Posting Date]],""),"")</f>
        <v/>
      </c>
      <c r="N749">
        <f>IFERROR(IF(Table1[[#This Row],[Balance Due (LC)]]&lt;&gt;0,$S$1-L749,0),"")</f>
        <v>0</v>
      </c>
      <c r="O749" t="str">
        <f>IFERROR(IF(Table1[[#This Row],[Type]]="IN",Table1[[#This Row],[C/D (LC)]],IF(Table1[[#This Row],[Type]]="CN",Table1[[#This Row],[C/D (LC)]],"")),"")</f>
        <v/>
      </c>
      <c r="P749" t="str">
        <f>VLOOKUP(Table1[[#This Row],[Cust '#]],ClientInfo!$A:$B,2,0)</f>
        <v>Client_08</v>
      </c>
    </row>
    <row r="750" spans="1:16">
      <c r="A750" t="s">
        <v>114</v>
      </c>
      <c r="B750" t="s">
        <v>12</v>
      </c>
      <c r="C750">
        <v>140016341</v>
      </c>
      <c r="D750" s="1">
        <v>45609</v>
      </c>
      <c r="E750">
        <v>31</v>
      </c>
      <c r="F750">
        <v>0</v>
      </c>
      <c r="G750">
        <v>700002372</v>
      </c>
      <c r="H750" s="1">
        <v>45653</v>
      </c>
      <c r="I750">
        <f>YEAR(Table1[[#This Row],[Posting Date]])</f>
        <v>2024</v>
      </c>
      <c r="J750">
        <f>MONTH(Table1[[#This Row],[Posting Date]])</f>
        <v>11</v>
      </c>
      <c r="K750" t="str">
        <f>IF(Table1[[#This Row],[Type]]="IN",VLOOKUP(Table1[[#This Row],[Cust '#]],ClientInfo!$A:$D,4,0),"")</f>
        <v>NET30</v>
      </c>
      <c r="L750" s="1">
        <f>IF(K750="NET30",Table1[[#This Row],[Posting Date]]+30,IF(K750="NET15",Table1[[#This Row],[Posting Date]]+15,IF(K750="COD",Table1[[#This Row],[Posting Date]],"")))</f>
        <v>45639</v>
      </c>
      <c r="M750" s="4">
        <f>IFERROR(IF(Table1[[#This Row],[Type]]="IN",Table1[[#This Row],[RC Date]]-Table1[[#This Row],[Posting Date]],""),"")</f>
        <v>44</v>
      </c>
      <c r="N750">
        <f>IFERROR(IF(Table1[[#This Row],[Balance Due (LC)]]&lt;&gt;0,$S$1-L750,0),"")</f>
        <v>0</v>
      </c>
      <c r="O750">
        <f>IFERROR(IF(Table1[[#This Row],[Type]]="IN",Table1[[#This Row],[C/D (LC)]],IF(Table1[[#This Row],[Type]]="CN",Table1[[#This Row],[C/D (LC)]],"")),"")</f>
        <v>31</v>
      </c>
      <c r="P750" t="str">
        <f>VLOOKUP(Table1[[#This Row],[Cust '#]],ClientInfo!$A:$B,2,0)</f>
        <v>Client_08</v>
      </c>
    </row>
    <row r="751" spans="1:16">
      <c r="A751" t="s">
        <v>114</v>
      </c>
      <c r="B751" t="s">
        <v>13</v>
      </c>
      <c r="C751">
        <v>150000705</v>
      </c>
      <c r="D751" s="1">
        <v>45610</v>
      </c>
      <c r="E751">
        <v>-230.8</v>
      </c>
      <c r="F751">
        <v>0</v>
      </c>
      <c r="G751">
        <v>700002256</v>
      </c>
      <c r="H751" s="1">
        <v>45639</v>
      </c>
      <c r="I751">
        <f>YEAR(Table1[[#This Row],[Posting Date]])</f>
        <v>2024</v>
      </c>
      <c r="J751">
        <f>MONTH(Table1[[#This Row],[Posting Date]])</f>
        <v>11</v>
      </c>
      <c r="K751" t="str">
        <f>IF(Table1[[#This Row],[Type]]="IN",VLOOKUP(Table1[[#This Row],[Cust '#]],ClientInfo!$A:$D,4,0),"")</f>
        <v/>
      </c>
      <c r="L751" s="1" t="str">
        <f>IF(K751="NET30",Table1[[#This Row],[Posting Date]]+30,IF(K751="NET15",Table1[[#This Row],[Posting Date]]+15,IF(K751="COD",Table1[[#This Row],[Posting Date]],"")))</f>
        <v/>
      </c>
      <c r="M751" s="4" t="str">
        <f>IFERROR(IF(Table1[[#This Row],[Type]]="IN",Table1[[#This Row],[RC Date]]-Table1[[#This Row],[Posting Date]],""),"")</f>
        <v/>
      </c>
      <c r="N751">
        <f>IFERROR(IF(Table1[[#This Row],[Balance Due (LC)]]&lt;&gt;0,$S$1-L751,0),"")</f>
        <v>0</v>
      </c>
      <c r="O751">
        <f>IFERROR(IF(Table1[[#This Row],[Type]]="IN",Table1[[#This Row],[C/D (LC)]],IF(Table1[[#This Row],[Type]]="CN",Table1[[#This Row],[C/D (LC)]],"")),"")</f>
        <v>-230.8</v>
      </c>
      <c r="P751" t="str">
        <f>VLOOKUP(Table1[[#This Row],[Cust '#]],ClientInfo!$A:$B,2,0)</f>
        <v>Client_08</v>
      </c>
    </row>
    <row r="752" spans="1:16">
      <c r="A752" t="s">
        <v>114</v>
      </c>
      <c r="B752" t="s">
        <v>12</v>
      </c>
      <c r="C752">
        <v>140016563</v>
      </c>
      <c r="D752" s="1">
        <v>45615</v>
      </c>
      <c r="E752">
        <v>9609.7999999999993</v>
      </c>
      <c r="F752">
        <v>0</v>
      </c>
      <c r="G752">
        <v>700002372</v>
      </c>
      <c r="H752" s="1">
        <v>45653</v>
      </c>
      <c r="I752">
        <f>YEAR(Table1[[#This Row],[Posting Date]])</f>
        <v>2024</v>
      </c>
      <c r="J752">
        <f>MONTH(Table1[[#This Row],[Posting Date]])</f>
        <v>11</v>
      </c>
      <c r="K752" t="str">
        <f>IF(Table1[[#This Row],[Type]]="IN",VLOOKUP(Table1[[#This Row],[Cust '#]],ClientInfo!$A:$D,4,0),"")</f>
        <v>NET30</v>
      </c>
      <c r="L752" s="1">
        <f>IF(K752="NET30",Table1[[#This Row],[Posting Date]]+30,IF(K752="NET15",Table1[[#This Row],[Posting Date]]+15,IF(K752="COD",Table1[[#This Row],[Posting Date]],"")))</f>
        <v>45645</v>
      </c>
      <c r="M752" s="4">
        <f>IFERROR(IF(Table1[[#This Row],[Type]]="IN",Table1[[#This Row],[RC Date]]-Table1[[#This Row],[Posting Date]],""),"")</f>
        <v>38</v>
      </c>
      <c r="N752">
        <f>IFERROR(IF(Table1[[#This Row],[Balance Due (LC)]]&lt;&gt;0,$S$1-L752,0),"")</f>
        <v>0</v>
      </c>
      <c r="O752">
        <f>IFERROR(IF(Table1[[#This Row],[Type]]="IN",Table1[[#This Row],[C/D (LC)]],IF(Table1[[#This Row],[Type]]="CN",Table1[[#This Row],[C/D (LC)]],"")),"")</f>
        <v>9609.7999999999993</v>
      </c>
      <c r="P752" t="str">
        <f>VLOOKUP(Table1[[#This Row],[Cust '#]],ClientInfo!$A:$B,2,0)</f>
        <v>Client_08</v>
      </c>
    </row>
    <row r="753" spans="1:16">
      <c r="A753" t="s">
        <v>114</v>
      </c>
      <c r="B753" t="s">
        <v>12</v>
      </c>
      <c r="C753">
        <v>140016738</v>
      </c>
      <c r="D753" s="1">
        <v>45617</v>
      </c>
      <c r="E753">
        <v>240</v>
      </c>
      <c r="F753">
        <v>0</v>
      </c>
      <c r="G753">
        <v>700002372</v>
      </c>
      <c r="H753" s="1">
        <v>45653</v>
      </c>
      <c r="I753">
        <f>YEAR(Table1[[#This Row],[Posting Date]])</f>
        <v>2024</v>
      </c>
      <c r="J753">
        <f>MONTH(Table1[[#This Row],[Posting Date]])</f>
        <v>11</v>
      </c>
      <c r="K753" t="str">
        <f>IF(Table1[[#This Row],[Type]]="IN",VLOOKUP(Table1[[#This Row],[Cust '#]],ClientInfo!$A:$D,4,0),"")</f>
        <v>NET30</v>
      </c>
      <c r="L753" s="1">
        <f>IF(K753="NET30",Table1[[#This Row],[Posting Date]]+30,IF(K753="NET15",Table1[[#This Row],[Posting Date]]+15,IF(K753="COD",Table1[[#This Row],[Posting Date]],"")))</f>
        <v>45647</v>
      </c>
      <c r="M753" s="4">
        <f>IFERROR(IF(Table1[[#This Row],[Type]]="IN",Table1[[#This Row],[RC Date]]-Table1[[#This Row],[Posting Date]],""),"")</f>
        <v>36</v>
      </c>
      <c r="N753">
        <f>IFERROR(IF(Table1[[#This Row],[Balance Due (LC)]]&lt;&gt;0,$S$1-L753,0),"")</f>
        <v>0</v>
      </c>
      <c r="O753">
        <f>IFERROR(IF(Table1[[#This Row],[Type]]="IN",Table1[[#This Row],[C/D (LC)]],IF(Table1[[#This Row],[Type]]="CN",Table1[[#This Row],[C/D (LC)]],"")),"")</f>
        <v>240</v>
      </c>
      <c r="P753" t="str">
        <f>VLOOKUP(Table1[[#This Row],[Cust '#]],ClientInfo!$A:$B,2,0)</f>
        <v>Client_08</v>
      </c>
    </row>
    <row r="754" spans="1:16">
      <c r="A754" t="s">
        <v>114</v>
      </c>
      <c r="B754" t="s">
        <v>12</v>
      </c>
      <c r="C754">
        <v>140016907</v>
      </c>
      <c r="D754" s="1">
        <v>45622</v>
      </c>
      <c r="E754">
        <v>5068.8999999999996</v>
      </c>
      <c r="F754">
        <v>0</v>
      </c>
      <c r="G754">
        <v>700002372</v>
      </c>
      <c r="H754" s="1">
        <v>45653</v>
      </c>
      <c r="I754">
        <f>YEAR(Table1[[#This Row],[Posting Date]])</f>
        <v>2024</v>
      </c>
      <c r="J754">
        <f>MONTH(Table1[[#This Row],[Posting Date]])</f>
        <v>11</v>
      </c>
      <c r="K754" t="str">
        <f>IF(Table1[[#This Row],[Type]]="IN",VLOOKUP(Table1[[#This Row],[Cust '#]],ClientInfo!$A:$D,4,0),"")</f>
        <v>NET30</v>
      </c>
      <c r="L754" s="1">
        <f>IF(K754="NET30",Table1[[#This Row],[Posting Date]]+30,IF(K754="NET15",Table1[[#This Row],[Posting Date]]+15,IF(K754="COD",Table1[[#This Row],[Posting Date]],"")))</f>
        <v>45652</v>
      </c>
      <c r="M754" s="4">
        <f>IFERROR(IF(Table1[[#This Row],[Type]]="IN",Table1[[#This Row],[RC Date]]-Table1[[#This Row],[Posting Date]],""),"")</f>
        <v>31</v>
      </c>
      <c r="N754">
        <f>IFERROR(IF(Table1[[#This Row],[Balance Due (LC)]]&lt;&gt;0,$S$1-L754,0),"")</f>
        <v>0</v>
      </c>
      <c r="O754">
        <f>IFERROR(IF(Table1[[#This Row],[Type]]="IN",Table1[[#This Row],[C/D (LC)]],IF(Table1[[#This Row],[Type]]="CN",Table1[[#This Row],[C/D (LC)]],"")),"")</f>
        <v>5068.8999999999996</v>
      </c>
      <c r="P754" t="str">
        <f>VLOOKUP(Table1[[#This Row],[Cust '#]],ClientInfo!$A:$B,2,0)</f>
        <v>Client_08</v>
      </c>
    </row>
    <row r="755" spans="1:16">
      <c r="A755" t="s">
        <v>114</v>
      </c>
      <c r="B755" t="s">
        <v>13</v>
      </c>
      <c r="C755">
        <v>150000726</v>
      </c>
      <c r="D755" s="1">
        <v>45625</v>
      </c>
      <c r="E755">
        <v>-53</v>
      </c>
      <c r="F755">
        <v>0</v>
      </c>
      <c r="G755">
        <v>700002256</v>
      </c>
      <c r="H755" s="1">
        <v>45639</v>
      </c>
      <c r="I755">
        <f>YEAR(Table1[[#This Row],[Posting Date]])</f>
        <v>2024</v>
      </c>
      <c r="J755">
        <f>MONTH(Table1[[#This Row],[Posting Date]])</f>
        <v>11</v>
      </c>
      <c r="K755" t="str">
        <f>IF(Table1[[#This Row],[Type]]="IN",VLOOKUP(Table1[[#This Row],[Cust '#]],ClientInfo!$A:$D,4,0),"")</f>
        <v/>
      </c>
      <c r="L755" s="1" t="str">
        <f>IF(K755="NET30",Table1[[#This Row],[Posting Date]]+30,IF(K755="NET15",Table1[[#This Row],[Posting Date]]+15,IF(K755="COD",Table1[[#This Row],[Posting Date]],"")))</f>
        <v/>
      </c>
      <c r="M755" s="4" t="str">
        <f>IFERROR(IF(Table1[[#This Row],[Type]]="IN",Table1[[#This Row],[RC Date]]-Table1[[#This Row],[Posting Date]],""),"")</f>
        <v/>
      </c>
      <c r="N755">
        <f>IFERROR(IF(Table1[[#This Row],[Balance Due (LC)]]&lt;&gt;0,$S$1-L755,0),"")</f>
        <v>0</v>
      </c>
      <c r="O755">
        <f>IFERROR(IF(Table1[[#This Row],[Type]]="IN",Table1[[#This Row],[C/D (LC)]],IF(Table1[[#This Row],[Type]]="CN",Table1[[#This Row],[C/D (LC)]],"")),"")</f>
        <v>-53</v>
      </c>
      <c r="P755" t="str">
        <f>VLOOKUP(Table1[[#This Row],[Cust '#]],ClientInfo!$A:$B,2,0)</f>
        <v>Client_08</v>
      </c>
    </row>
    <row r="756" spans="1:16">
      <c r="A756" t="s">
        <v>114</v>
      </c>
      <c r="B756" t="s">
        <v>13</v>
      </c>
      <c r="C756">
        <v>150000735</v>
      </c>
      <c r="D756" s="1">
        <v>45626</v>
      </c>
      <c r="E756">
        <v>-43.2</v>
      </c>
      <c r="F756">
        <v>0</v>
      </c>
      <c r="G756">
        <v>700002256</v>
      </c>
      <c r="H756" s="1">
        <v>45639</v>
      </c>
      <c r="I756">
        <f>YEAR(Table1[[#This Row],[Posting Date]])</f>
        <v>2024</v>
      </c>
      <c r="J756">
        <f>MONTH(Table1[[#This Row],[Posting Date]])</f>
        <v>11</v>
      </c>
      <c r="K756" t="str">
        <f>IF(Table1[[#This Row],[Type]]="IN",VLOOKUP(Table1[[#This Row],[Cust '#]],ClientInfo!$A:$D,4,0),"")</f>
        <v/>
      </c>
      <c r="L756" s="1" t="str">
        <f>IF(K756="NET30",Table1[[#This Row],[Posting Date]]+30,IF(K756="NET15",Table1[[#This Row],[Posting Date]]+15,IF(K756="COD",Table1[[#This Row],[Posting Date]],"")))</f>
        <v/>
      </c>
      <c r="M756" s="4" t="str">
        <f>IFERROR(IF(Table1[[#This Row],[Type]]="IN",Table1[[#This Row],[RC Date]]-Table1[[#This Row],[Posting Date]],""),"")</f>
        <v/>
      </c>
      <c r="N756">
        <f>IFERROR(IF(Table1[[#This Row],[Balance Due (LC)]]&lt;&gt;0,$S$1-L756,0),"")</f>
        <v>0</v>
      </c>
      <c r="O756">
        <f>IFERROR(IF(Table1[[#This Row],[Type]]="IN",Table1[[#This Row],[C/D (LC)]],IF(Table1[[#This Row],[Type]]="CN",Table1[[#This Row],[C/D (LC)]],"")),"")</f>
        <v>-43.2</v>
      </c>
      <c r="P756" t="str">
        <f>VLOOKUP(Table1[[#This Row],[Cust '#]],ClientInfo!$A:$B,2,0)</f>
        <v>Client_08</v>
      </c>
    </row>
    <row r="757" spans="1:16">
      <c r="A757" t="s">
        <v>114</v>
      </c>
      <c r="B757" t="s">
        <v>13</v>
      </c>
      <c r="C757">
        <v>150000736</v>
      </c>
      <c r="D757" s="1">
        <v>45626</v>
      </c>
      <c r="E757">
        <v>-170</v>
      </c>
      <c r="F757">
        <v>0</v>
      </c>
      <c r="G757">
        <v>700002256</v>
      </c>
      <c r="H757" s="1">
        <v>45639</v>
      </c>
      <c r="I757">
        <f>YEAR(Table1[[#This Row],[Posting Date]])</f>
        <v>2024</v>
      </c>
      <c r="J757">
        <f>MONTH(Table1[[#This Row],[Posting Date]])</f>
        <v>11</v>
      </c>
      <c r="K757" t="str">
        <f>IF(Table1[[#This Row],[Type]]="IN",VLOOKUP(Table1[[#This Row],[Cust '#]],ClientInfo!$A:$D,4,0),"")</f>
        <v/>
      </c>
      <c r="L757" s="1" t="str">
        <f>IF(K757="NET30",Table1[[#This Row],[Posting Date]]+30,IF(K757="NET15",Table1[[#This Row],[Posting Date]]+15,IF(K757="COD",Table1[[#This Row],[Posting Date]],"")))</f>
        <v/>
      </c>
      <c r="M757" s="4" t="str">
        <f>IFERROR(IF(Table1[[#This Row],[Type]]="IN",Table1[[#This Row],[RC Date]]-Table1[[#This Row],[Posting Date]],""),"")</f>
        <v/>
      </c>
      <c r="N757">
        <f>IFERROR(IF(Table1[[#This Row],[Balance Due (LC)]]&lt;&gt;0,$S$1-L757,0),"")</f>
        <v>0</v>
      </c>
      <c r="O757">
        <f>IFERROR(IF(Table1[[#This Row],[Type]]="IN",Table1[[#This Row],[C/D (LC)]],IF(Table1[[#This Row],[Type]]="CN",Table1[[#This Row],[C/D (LC)]],"")),"")</f>
        <v>-170</v>
      </c>
      <c r="P757" t="str">
        <f>VLOOKUP(Table1[[#This Row],[Cust '#]],ClientInfo!$A:$B,2,0)</f>
        <v>Client_08</v>
      </c>
    </row>
    <row r="758" spans="1:16">
      <c r="A758" t="s">
        <v>114</v>
      </c>
      <c r="B758" t="s">
        <v>12</v>
      </c>
      <c r="C758">
        <v>140017207</v>
      </c>
      <c r="D758" s="1">
        <v>45629</v>
      </c>
      <c r="E758">
        <v>6791.4</v>
      </c>
      <c r="F758">
        <v>0</v>
      </c>
      <c r="H758" s="1" t="s">
        <v>14</v>
      </c>
      <c r="I758">
        <f>YEAR(Table1[[#This Row],[Posting Date]])</f>
        <v>2024</v>
      </c>
      <c r="J758">
        <f>MONTH(Table1[[#This Row],[Posting Date]])</f>
        <v>12</v>
      </c>
      <c r="K758" t="str">
        <f>IF(Table1[[#This Row],[Type]]="IN",VLOOKUP(Table1[[#This Row],[Cust '#]],ClientInfo!$A:$D,4,0),"")</f>
        <v>NET30</v>
      </c>
      <c r="L758" s="1">
        <f>IF(K758="NET30",Table1[[#This Row],[Posting Date]]+30,IF(K758="NET15",Table1[[#This Row],[Posting Date]]+15,IF(K758="COD",Table1[[#This Row],[Posting Date]],"")))</f>
        <v>45659</v>
      </c>
      <c r="M758" s="4" t="str">
        <f>IFERROR(IF(Table1[[#This Row],[Type]]="IN",Table1[[#This Row],[RC Date]]-Table1[[#This Row],[Posting Date]],""),"")</f>
        <v/>
      </c>
      <c r="N758">
        <f>IFERROR(IF(Table1[[#This Row],[Balance Due (LC)]]&lt;&gt;0,$S$1-L758,0),"")</f>
        <v>0</v>
      </c>
      <c r="O758">
        <f>IFERROR(IF(Table1[[#This Row],[Type]]="IN",Table1[[#This Row],[C/D (LC)]],IF(Table1[[#This Row],[Type]]="CN",Table1[[#This Row],[C/D (LC)]],"")),"")</f>
        <v>6791.4</v>
      </c>
      <c r="P758" t="str">
        <f>VLOOKUP(Table1[[#This Row],[Cust '#]],ClientInfo!$A:$B,2,0)</f>
        <v>Client_08</v>
      </c>
    </row>
    <row r="759" spans="1:16">
      <c r="A759" t="s">
        <v>114</v>
      </c>
      <c r="B759" t="s">
        <v>12</v>
      </c>
      <c r="C759">
        <v>140017542</v>
      </c>
      <c r="D759" s="1">
        <v>45636</v>
      </c>
      <c r="E759">
        <v>7194.3</v>
      </c>
      <c r="F759">
        <v>0</v>
      </c>
      <c r="H759" s="1" t="s">
        <v>14</v>
      </c>
      <c r="I759">
        <f>YEAR(Table1[[#This Row],[Posting Date]])</f>
        <v>2024</v>
      </c>
      <c r="J759">
        <f>MONTH(Table1[[#This Row],[Posting Date]])</f>
        <v>12</v>
      </c>
      <c r="K759" t="str">
        <f>IF(Table1[[#This Row],[Type]]="IN",VLOOKUP(Table1[[#This Row],[Cust '#]],ClientInfo!$A:$D,4,0),"")</f>
        <v>NET30</v>
      </c>
      <c r="L759" s="1">
        <f>IF(K759="NET30",Table1[[#This Row],[Posting Date]]+30,IF(K759="NET15",Table1[[#This Row],[Posting Date]]+15,IF(K759="COD",Table1[[#This Row],[Posting Date]],"")))</f>
        <v>45666</v>
      </c>
      <c r="M759" s="4" t="str">
        <f>IFERROR(IF(Table1[[#This Row],[Type]]="IN",Table1[[#This Row],[RC Date]]-Table1[[#This Row],[Posting Date]],""),"")</f>
        <v/>
      </c>
      <c r="N759">
        <f>IFERROR(IF(Table1[[#This Row],[Balance Due (LC)]]&lt;&gt;0,$S$1-L759,0),"")</f>
        <v>0</v>
      </c>
      <c r="O759">
        <f>IFERROR(IF(Table1[[#This Row],[Type]]="IN",Table1[[#This Row],[C/D (LC)]],IF(Table1[[#This Row],[Type]]="CN",Table1[[#This Row],[C/D (LC)]],"")),"")</f>
        <v>7194.3</v>
      </c>
      <c r="P759" t="str">
        <f>VLOOKUP(Table1[[#This Row],[Cust '#]],ClientInfo!$A:$B,2,0)</f>
        <v>Client_08</v>
      </c>
    </row>
    <row r="760" spans="1:16">
      <c r="A760" t="s">
        <v>114</v>
      </c>
      <c r="B760" t="s">
        <v>12</v>
      </c>
      <c r="C760">
        <v>140017696</v>
      </c>
      <c r="D760" s="1">
        <v>45638</v>
      </c>
      <c r="E760">
        <v>451</v>
      </c>
      <c r="F760">
        <v>0</v>
      </c>
      <c r="H760" s="1" t="s">
        <v>14</v>
      </c>
      <c r="I760">
        <f>YEAR(Table1[[#This Row],[Posting Date]])</f>
        <v>2024</v>
      </c>
      <c r="J760">
        <f>MONTH(Table1[[#This Row],[Posting Date]])</f>
        <v>12</v>
      </c>
      <c r="K760" t="str">
        <f>IF(Table1[[#This Row],[Type]]="IN",VLOOKUP(Table1[[#This Row],[Cust '#]],ClientInfo!$A:$D,4,0),"")</f>
        <v>NET30</v>
      </c>
      <c r="L760" s="1">
        <f>IF(K760="NET30",Table1[[#This Row],[Posting Date]]+30,IF(K760="NET15",Table1[[#This Row],[Posting Date]]+15,IF(K760="COD",Table1[[#This Row],[Posting Date]],"")))</f>
        <v>45668</v>
      </c>
      <c r="M760" s="4" t="str">
        <f>IFERROR(IF(Table1[[#This Row],[Type]]="IN",Table1[[#This Row],[RC Date]]-Table1[[#This Row],[Posting Date]],""),"")</f>
        <v/>
      </c>
      <c r="N760">
        <f>IFERROR(IF(Table1[[#This Row],[Balance Due (LC)]]&lt;&gt;0,$S$1-L760,0),"")</f>
        <v>0</v>
      </c>
      <c r="O760">
        <f>IFERROR(IF(Table1[[#This Row],[Type]]="IN",Table1[[#This Row],[C/D (LC)]],IF(Table1[[#This Row],[Type]]="CN",Table1[[#This Row],[C/D (LC)]],"")),"")</f>
        <v>451</v>
      </c>
      <c r="P760" t="str">
        <f>VLOOKUP(Table1[[#This Row],[Cust '#]],ClientInfo!$A:$B,2,0)</f>
        <v>Client_08</v>
      </c>
    </row>
    <row r="761" spans="1:16">
      <c r="A761" t="s">
        <v>114</v>
      </c>
      <c r="B761" t="s">
        <v>10</v>
      </c>
      <c r="C761">
        <v>700002256</v>
      </c>
      <c r="D761" s="1">
        <v>45639</v>
      </c>
      <c r="E761">
        <v>-28943.599999999999</v>
      </c>
      <c r="F761">
        <v>0</v>
      </c>
      <c r="G761">
        <v>700002256</v>
      </c>
      <c r="H761" s="1">
        <v>45639</v>
      </c>
      <c r="I761">
        <f>YEAR(Table1[[#This Row],[Posting Date]])</f>
        <v>2024</v>
      </c>
      <c r="J761">
        <f>MONTH(Table1[[#This Row],[Posting Date]])</f>
        <v>12</v>
      </c>
      <c r="K761" t="str">
        <f>IF(Table1[[#This Row],[Type]]="IN",VLOOKUP(Table1[[#This Row],[Cust '#]],ClientInfo!$A:$D,4,0),"")</f>
        <v/>
      </c>
      <c r="L761" s="1" t="str">
        <f>IF(K761="NET30",Table1[[#This Row],[Posting Date]]+30,IF(K761="NET15",Table1[[#This Row],[Posting Date]]+15,IF(K761="COD",Table1[[#This Row],[Posting Date]],"")))</f>
        <v/>
      </c>
      <c r="M761" s="4" t="str">
        <f>IFERROR(IF(Table1[[#This Row],[Type]]="IN",Table1[[#This Row],[RC Date]]-Table1[[#This Row],[Posting Date]],""),"")</f>
        <v/>
      </c>
      <c r="N761">
        <f>IFERROR(IF(Table1[[#This Row],[Balance Due (LC)]]&lt;&gt;0,$S$1-L761,0),"")</f>
        <v>0</v>
      </c>
      <c r="O761" t="str">
        <f>IFERROR(IF(Table1[[#This Row],[Type]]="IN",Table1[[#This Row],[C/D (LC)]],IF(Table1[[#This Row],[Type]]="CN",Table1[[#This Row],[C/D (LC)]],"")),"")</f>
        <v/>
      </c>
      <c r="P761" t="str">
        <f>VLOOKUP(Table1[[#This Row],[Cust '#]],ClientInfo!$A:$B,2,0)</f>
        <v>Client_08</v>
      </c>
    </row>
    <row r="762" spans="1:16">
      <c r="A762" t="s">
        <v>114</v>
      </c>
      <c r="B762" t="s">
        <v>12</v>
      </c>
      <c r="C762">
        <v>140017874</v>
      </c>
      <c r="D762" s="1">
        <v>45643</v>
      </c>
      <c r="E762">
        <v>6319.5</v>
      </c>
      <c r="F762">
        <v>0</v>
      </c>
      <c r="G762">
        <v>700002626</v>
      </c>
      <c r="H762" s="1">
        <v>45691</v>
      </c>
      <c r="I762">
        <f>YEAR(Table1[[#This Row],[Posting Date]])</f>
        <v>2024</v>
      </c>
      <c r="J762">
        <f>MONTH(Table1[[#This Row],[Posting Date]])</f>
        <v>12</v>
      </c>
      <c r="K762" t="str">
        <f>IF(Table1[[#This Row],[Type]]="IN",VLOOKUP(Table1[[#This Row],[Cust '#]],ClientInfo!$A:$D,4,0),"")</f>
        <v>NET30</v>
      </c>
      <c r="L762" s="1">
        <f>IF(K762="NET30",Table1[[#This Row],[Posting Date]]+30,IF(K762="NET15",Table1[[#This Row],[Posting Date]]+15,IF(K762="COD",Table1[[#This Row],[Posting Date]],"")))</f>
        <v>45673</v>
      </c>
      <c r="M762" s="4">
        <f>IFERROR(IF(Table1[[#This Row],[Type]]="IN",Table1[[#This Row],[RC Date]]-Table1[[#This Row],[Posting Date]],""),"")</f>
        <v>48</v>
      </c>
      <c r="N762">
        <f>IFERROR(IF(Table1[[#This Row],[Balance Due (LC)]]&lt;&gt;0,$S$1-L762,0),"")</f>
        <v>0</v>
      </c>
      <c r="O762">
        <f>IFERROR(IF(Table1[[#This Row],[Type]]="IN",Table1[[#This Row],[C/D (LC)]],IF(Table1[[#This Row],[Type]]="CN",Table1[[#This Row],[C/D (LC)]],"")),"")</f>
        <v>6319.5</v>
      </c>
      <c r="P762" t="str">
        <f>VLOOKUP(Table1[[#This Row],[Cust '#]],ClientInfo!$A:$B,2,0)</f>
        <v>Client_08</v>
      </c>
    </row>
    <row r="763" spans="1:16">
      <c r="A763" t="s">
        <v>114</v>
      </c>
      <c r="B763" t="s">
        <v>12</v>
      </c>
      <c r="C763">
        <v>140018027</v>
      </c>
      <c r="D763" s="1">
        <v>45645</v>
      </c>
      <c r="E763">
        <v>450</v>
      </c>
      <c r="F763">
        <v>0</v>
      </c>
      <c r="G763">
        <v>700002626</v>
      </c>
      <c r="H763" s="1">
        <v>45691</v>
      </c>
      <c r="I763">
        <f>YEAR(Table1[[#This Row],[Posting Date]])</f>
        <v>2024</v>
      </c>
      <c r="J763">
        <f>MONTH(Table1[[#This Row],[Posting Date]])</f>
        <v>12</v>
      </c>
      <c r="K763" t="str">
        <f>IF(Table1[[#This Row],[Type]]="IN",VLOOKUP(Table1[[#This Row],[Cust '#]],ClientInfo!$A:$D,4,0),"")</f>
        <v>NET30</v>
      </c>
      <c r="L763" s="1">
        <f>IF(K763="NET30",Table1[[#This Row],[Posting Date]]+30,IF(K763="NET15",Table1[[#This Row],[Posting Date]]+15,IF(K763="COD",Table1[[#This Row],[Posting Date]],"")))</f>
        <v>45675</v>
      </c>
      <c r="M763" s="4">
        <f>IFERROR(IF(Table1[[#This Row],[Type]]="IN",Table1[[#This Row],[RC Date]]-Table1[[#This Row],[Posting Date]],""),"")</f>
        <v>46</v>
      </c>
      <c r="N763">
        <f>IFERROR(IF(Table1[[#This Row],[Balance Due (LC)]]&lt;&gt;0,$S$1-L763,0),"")</f>
        <v>0</v>
      </c>
      <c r="O763">
        <f>IFERROR(IF(Table1[[#This Row],[Type]]="IN",Table1[[#This Row],[C/D (LC)]],IF(Table1[[#This Row],[Type]]="CN",Table1[[#This Row],[C/D (LC)]],"")),"")</f>
        <v>450</v>
      </c>
      <c r="P763" t="str">
        <f>VLOOKUP(Table1[[#This Row],[Cust '#]],ClientInfo!$A:$B,2,0)</f>
        <v>Client_08</v>
      </c>
    </row>
    <row r="764" spans="1:16">
      <c r="A764" t="s">
        <v>114</v>
      </c>
      <c r="B764" t="s">
        <v>13</v>
      </c>
      <c r="C764">
        <v>150000781</v>
      </c>
      <c r="D764" s="1">
        <v>45649</v>
      </c>
      <c r="E764">
        <v>-341</v>
      </c>
      <c r="F764">
        <v>0</v>
      </c>
      <c r="G764">
        <v>700002626</v>
      </c>
      <c r="H764" s="1">
        <v>45691</v>
      </c>
      <c r="I764">
        <f>YEAR(Table1[[#This Row],[Posting Date]])</f>
        <v>2024</v>
      </c>
      <c r="J764">
        <f>MONTH(Table1[[#This Row],[Posting Date]])</f>
        <v>12</v>
      </c>
      <c r="K764" t="str">
        <f>IF(Table1[[#This Row],[Type]]="IN",VLOOKUP(Table1[[#This Row],[Cust '#]],ClientInfo!$A:$D,4,0),"")</f>
        <v/>
      </c>
      <c r="L764" s="1" t="str">
        <f>IF(K764="NET30",Table1[[#This Row],[Posting Date]]+30,IF(K764="NET15",Table1[[#This Row],[Posting Date]]+15,IF(K764="COD",Table1[[#This Row],[Posting Date]],"")))</f>
        <v/>
      </c>
      <c r="M764" s="4" t="str">
        <f>IFERROR(IF(Table1[[#This Row],[Type]]="IN",Table1[[#This Row],[RC Date]]-Table1[[#This Row],[Posting Date]],""),"")</f>
        <v/>
      </c>
      <c r="N764">
        <f>IFERROR(IF(Table1[[#This Row],[Balance Due (LC)]]&lt;&gt;0,$S$1-L764,0),"")</f>
        <v>0</v>
      </c>
      <c r="O764">
        <f>IFERROR(IF(Table1[[#This Row],[Type]]="IN",Table1[[#This Row],[C/D (LC)]],IF(Table1[[#This Row],[Type]]="CN",Table1[[#This Row],[C/D (LC)]],"")),"")</f>
        <v>-341</v>
      </c>
      <c r="P764" t="str">
        <f>VLOOKUP(Table1[[#This Row],[Cust '#]],ClientInfo!$A:$B,2,0)</f>
        <v>Client_08</v>
      </c>
    </row>
    <row r="765" spans="1:16">
      <c r="A765" t="s">
        <v>114</v>
      </c>
      <c r="B765" t="s">
        <v>12</v>
      </c>
      <c r="C765">
        <v>140018240</v>
      </c>
      <c r="D765" s="1">
        <v>45650</v>
      </c>
      <c r="E765">
        <v>5190.5</v>
      </c>
      <c r="F765">
        <v>0</v>
      </c>
      <c r="G765">
        <v>700002626</v>
      </c>
      <c r="H765" s="1">
        <v>45691</v>
      </c>
      <c r="I765">
        <f>YEAR(Table1[[#This Row],[Posting Date]])</f>
        <v>2024</v>
      </c>
      <c r="J765">
        <f>MONTH(Table1[[#This Row],[Posting Date]])</f>
        <v>12</v>
      </c>
      <c r="K765" t="str">
        <f>IF(Table1[[#This Row],[Type]]="IN",VLOOKUP(Table1[[#This Row],[Cust '#]],ClientInfo!$A:$D,4,0),"")</f>
        <v>NET30</v>
      </c>
      <c r="L765" s="1">
        <f>IF(K765="NET30",Table1[[#This Row],[Posting Date]]+30,IF(K765="NET15",Table1[[#This Row],[Posting Date]]+15,IF(K765="COD",Table1[[#This Row],[Posting Date]],"")))</f>
        <v>45680</v>
      </c>
      <c r="M765" s="4">
        <f>IFERROR(IF(Table1[[#This Row],[Type]]="IN",Table1[[#This Row],[RC Date]]-Table1[[#This Row],[Posting Date]],""),"")</f>
        <v>41</v>
      </c>
      <c r="N765">
        <f>IFERROR(IF(Table1[[#This Row],[Balance Due (LC)]]&lt;&gt;0,$S$1-L765,0),"")</f>
        <v>0</v>
      </c>
      <c r="O765">
        <f>IFERROR(IF(Table1[[#This Row],[Type]]="IN",Table1[[#This Row],[C/D (LC)]],IF(Table1[[#This Row],[Type]]="CN",Table1[[#This Row],[C/D (LC)]],"")),"")</f>
        <v>5190.5</v>
      </c>
      <c r="P765" t="str">
        <f>VLOOKUP(Table1[[#This Row],[Cust '#]],ClientInfo!$A:$B,2,0)</f>
        <v>Client_08</v>
      </c>
    </row>
    <row r="766" spans="1:16">
      <c r="A766" t="s">
        <v>114</v>
      </c>
      <c r="B766" t="s">
        <v>12</v>
      </c>
      <c r="C766">
        <v>140018274</v>
      </c>
      <c r="D766" s="1">
        <v>45651</v>
      </c>
      <c r="E766">
        <v>156</v>
      </c>
      <c r="F766">
        <v>0</v>
      </c>
      <c r="G766">
        <v>700002626</v>
      </c>
      <c r="H766" s="1">
        <v>45691</v>
      </c>
      <c r="I766">
        <f>YEAR(Table1[[#This Row],[Posting Date]])</f>
        <v>2024</v>
      </c>
      <c r="J766">
        <f>MONTH(Table1[[#This Row],[Posting Date]])</f>
        <v>12</v>
      </c>
      <c r="K766" t="str">
        <f>IF(Table1[[#This Row],[Type]]="IN",VLOOKUP(Table1[[#This Row],[Cust '#]],ClientInfo!$A:$D,4,0),"")</f>
        <v>NET30</v>
      </c>
      <c r="L766" s="1">
        <f>IF(K766="NET30",Table1[[#This Row],[Posting Date]]+30,IF(K766="NET15",Table1[[#This Row],[Posting Date]]+15,IF(K766="COD",Table1[[#This Row],[Posting Date]],"")))</f>
        <v>45681</v>
      </c>
      <c r="M766" s="4">
        <f>IFERROR(IF(Table1[[#This Row],[Type]]="IN",Table1[[#This Row],[RC Date]]-Table1[[#This Row],[Posting Date]],""),"")</f>
        <v>40</v>
      </c>
      <c r="N766">
        <f>IFERROR(IF(Table1[[#This Row],[Balance Due (LC)]]&lt;&gt;0,$S$1-L766,0),"")</f>
        <v>0</v>
      </c>
      <c r="O766">
        <f>IFERROR(IF(Table1[[#This Row],[Type]]="IN",Table1[[#This Row],[C/D (LC)]],IF(Table1[[#This Row],[Type]]="CN",Table1[[#This Row],[C/D (LC)]],"")),"")</f>
        <v>156</v>
      </c>
      <c r="P766" t="str">
        <f>VLOOKUP(Table1[[#This Row],[Cust '#]],ClientInfo!$A:$B,2,0)</f>
        <v>Client_08</v>
      </c>
    </row>
    <row r="767" spans="1:16">
      <c r="A767" t="s">
        <v>114</v>
      </c>
      <c r="B767" t="s">
        <v>12</v>
      </c>
      <c r="C767">
        <v>140018431</v>
      </c>
      <c r="D767" s="1">
        <v>45653</v>
      </c>
      <c r="E767">
        <v>298</v>
      </c>
      <c r="F767">
        <v>0</v>
      </c>
      <c r="G767">
        <v>700002626</v>
      </c>
      <c r="H767" s="1">
        <v>45691</v>
      </c>
      <c r="I767">
        <f>YEAR(Table1[[#This Row],[Posting Date]])</f>
        <v>2024</v>
      </c>
      <c r="J767">
        <f>MONTH(Table1[[#This Row],[Posting Date]])</f>
        <v>12</v>
      </c>
      <c r="K767" t="str">
        <f>IF(Table1[[#This Row],[Type]]="IN",VLOOKUP(Table1[[#This Row],[Cust '#]],ClientInfo!$A:$D,4,0),"")</f>
        <v>NET30</v>
      </c>
      <c r="L767" s="1">
        <f>IF(K767="NET30",Table1[[#This Row],[Posting Date]]+30,IF(K767="NET15",Table1[[#This Row],[Posting Date]]+15,IF(K767="COD",Table1[[#This Row],[Posting Date]],"")))</f>
        <v>45683</v>
      </c>
      <c r="M767" s="4">
        <f>IFERROR(IF(Table1[[#This Row],[Type]]="IN",Table1[[#This Row],[RC Date]]-Table1[[#This Row],[Posting Date]],""),"")</f>
        <v>38</v>
      </c>
      <c r="N767">
        <f>IFERROR(IF(Table1[[#This Row],[Balance Due (LC)]]&lt;&gt;0,$S$1-L767,0),"")</f>
        <v>0</v>
      </c>
      <c r="O767">
        <f>IFERROR(IF(Table1[[#This Row],[Type]]="IN",Table1[[#This Row],[C/D (LC)]],IF(Table1[[#This Row],[Type]]="CN",Table1[[#This Row],[C/D (LC)]],"")),"")</f>
        <v>298</v>
      </c>
      <c r="P767" t="str">
        <f>VLOOKUP(Table1[[#This Row],[Cust '#]],ClientInfo!$A:$B,2,0)</f>
        <v>Client_08</v>
      </c>
    </row>
    <row r="768" spans="1:16">
      <c r="A768" t="s">
        <v>114</v>
      </c>
      <c r="B768" t="s">
        <v>10</v>
      </c>
      <c r="C768">
        <v>700002372</v>
      </c>
      <c r="D768" s="1">
        <v>45653</v>
      </c>
      <c r="E768">
        <v>-30945</v>
      </c>
      <c r="F768">
        <v>0</v>
      </c>
      <c r="G768">
        <v>700002372</v>
      </c>
      <c r="H768" s="1">
        <v>45653</v>
      </c>
      <c r="I768">
        <f>YEAR(Table1[[#This Row],[Posting Date]])</f>
        <v>2024</v>
      </c>
      <c r="J768">
        <f>MONTH(Table1[[#This Row],[Posting Date]])</f>
        <v>12</v>
      </c>
      <c r="K768" t="str">
        <f>IF(Table1[[#This Row],[Type]]="IN",VLOOKUP(Table1[[#This Row],[Cust '#]],ClientInfo!$A:$D,4,0),"")</f>
        <v/>
      </c>
      <c r="L768" s="1" t="str">
        <f>IF(K768="NET30",Table1[[#This Row],[Posting Date]]+30,IF(K768="NET15",Table1[[#This Row],[Posting Date]]+15,IF(K768="COD",Table1[[#This Row],[Posting Date]],"")))</f>
        <v/>
      </c>
      <c r="M768" s="4" t="str">
        <f>IFERROR(IF(Table1[[#This Row],[Type]]="IN",Table1[[#This Row],[RC Date]]-Table1[[#This Row],[Posting Date]],""),"")</f>
        <v/>
      </c>
      <c r="N768">
        <f>IFERROR(IF(Table1[[#This Row],[Balance Due (LC)]]&lt;&gt;0,$S$1-L768,0),"")</f>
        <v>0</v>
      </c>
      <c r="O768" t="str">
        <f>IFERROR(IF(Table1[[#This Row],[Type]]="IN",Table1[[#This Row],[C/D (LC)]],IF(Table1[[#This Row],[Type]]="CN",Table1[[#This Row],[C/D (LC)]],"")),"")</f>
        <v/>
      </c>
      <c r="P768" t="str">
        <f>VLOOKUP(Table1[[#This Row],[Cust '#]],ClientInfo!$A:$B,2,0)</f>
        <v>Client_08</v>
      </c>
    </row>
    <row r="769" spans="1:16">
      <c r="A769" t="s">
        <v>114</v>
      </c>
      <c r="B769" t="s">
        <v>13</v>
      </c>
      <c r="C769">
        <v>150000796</v>
      </c>
      <c r="D769" s="1">
        <v>45654</v>
      </c>
      <c r="E769">
        <v>-747</v>
      </c>
      <c r="F769">
        <v>0</v>
      </c>
      <c r="G769">
        <v>700002626</v>
      </c>
      <c r="H769" s="1">
        <v>45691</v>
      </c>
      <c r="I769">
        <f>YEAR(Table1[[#This Row],[Posting Date]])</f>
        <v>2024</v>
      </c>
      <c r="J769">
        <f>MONTH(Table1[[#This Row],[Posting Date]])</f>
        <v>12</v>
      </c>
      <c r="K769" t="str">
        <f>IF(Table1[[#This Row],[Type]]="IN",VLOOKUP(Table1[[#This Row],[Cust '#]],ClientInfo!$A:$D,4,0),"")</f>
        <v/>
      </c>
      <c r="L769" s="1" t="str">
        <f>IF(K769="NET30",Table1[[#This Row],[Posting Date]]+30,IF(K769="NET15",Table1[[#This Row],[Posting Date]]+15,IF(K769="COD",Table1[[#This Row],[Posting Date]],"")))</f>
        <v/>
      </c>
      <c r="M769" s="4" t="str">
        <f>IFERROR(IF(Table1[[#This Row],[Type]]="IN",Table1[[#This Row],[RC Date]]-Table1[[#This Row],[Posting Date]],""),"")</f>
        <v/>
      </c>
      <c r="N769">
        <f>IFERROR(IF(Table1[[#This Row],[Balance Due (LC)]]&lt;&gt;0,$S$1-L769,0),"")</f>
        <v>0</v>
      </c>
      <c r="O769">
        <f>IFERROR(IF(Table1[[#This Row],[Type]]="IN",Table1[[#This Row],[C/D (LC)]],IF(Table1[[#This Row],[Type]]="CN",Table1[[#This Row],[C/D (LC)]],"")),"")</f>
        <v>-747</v>
      </c>
      <c r="P769" t="str">
        <f>VLOOKUP(Table1[[#This Row],[Cust '#]],ClientInfo!$A:$B,2,0)</f>
        <v>Client_08</v>
      </c>
    </row>
    <row r="770" spans="1:16">
      <c r="A770" t="s">
        <v>114</v>
      </c>
      <c r="B770" t="s">
        <v>12</v>
      </c>
      <c r="C770">
        <v>140018513</v>
      </c>
      <c r="D770" s="1">
        <v>45657</v>
      </c>
      <c r="E770">
        <v>4183</v>
      </c>
      <c r="F770">
        <v>0</v>
      </c>
      <c r="G770">
        <v>700002626</v>
      </c>
      <c r="H770" s="1">
        <v>45691</v>
      </c>
      <c r="I770">
        <f>YEAR(Table1[[#This Row],[Posting Date]])</f>
        <v>2024</v>
      </c>
      <c r="J770">
        <f>MONTH(Table1[[#This Row],[Posting Date]])</f>
        <v>12</v>
      </c>
      <c r="K770" t="str">
        <f>IF(Table1[[#This Row],[Type]]="IN",VLOOKUP(Table1[[#This Row],[Cust '#]],ClientInfo!$A:$D,4,0),"")</f>
        <v>NET30</v>
      </c>
      <c r="L770" s="1">
        <f>IF(K770="NET30",Table1[[#This Row],[Posting Date]]+30,IF(K770="NET15",Table1[[#This Row],[Posting Date]]+15,IF(K770="COD",Table1[[#This Row],[Posting Date]],"")))</f>
        <v>45687</v>
      </c>
      <c r="M770" s="4">
        <f>IFERROR(IF(Table1[[#This Row],[Type]]="IN",Table1[[#This Row],[RC Date]]-Table1[[#This Row],[Posting Date]],""),"")</f>
        <v>34</v>
      </c>
      <c r="N770">
        <f>IFERROR(IF(Table1[[#This Row],[Balance Due (LC)]]&lt;&gt;0,$S$1-L770,0),"")</f>
        <v>0</v>
      </c>
      <c r="O770">
        <f>IFERROR(IF(Table1[[#This Row],[Type]]="IN",Table1[[#This Row],[C/D (LC)]],IF(Table1[[#This Row],[Type]]="CN",Table1[[#This Row],[C/D (LC)]],"")),"")</f>
        <v>4183</v>
      </c>
      <c r="P770" t="str">
        <f>VLOOKUP(Table1[[#This Row],[Cust '#]],ClientInfo!$A:$B,2,0)</f>
        <v>Client_08</v>
      </c>
    </row>
    <row r="771" spans="1:16">
      <c r="A771" t="s">
        <v>114</v>
      </c>
      <c r="B771" t="s">
        <v>12</v>
      </c>
      <c r="C771">
        <v>140018596</v>
      </c>
      <c r="D771" s="1">
        <v>45657</v>
      </c>
      <c r="E771">
        <v>266</v>
      </c>
      <c r="F771">
        <v>0</v>
      </c>
      <c r="G771">
        <v>700002626</v>
      </c>
      <c r="H771" s="1">
        <v>45691</v>
      </c>
      <c r="I771">
        <f>YEAR(Table1[[#This Row],[Posting Date]])</f>
        <v>2024</v>
      </c>
      <c r="J771">
        <f>MONTH(Table1[[#This Row],[Posting Date]])</f>
        <v>12</v>
      </c>
      <c r="K771" t="str">
        <f>IF(Table1[[#This Row],[Type]]="IN",VLOOKUP(Table1[[#This Row],[Cust '#]],ClientInfo!$A:$D,4,0),"")</f>
        <v>NET30</v>
      </c>
      <c r="L771" s="1">
        <f>IF(K771="NET30",Table1[[#This Row],[Posting Date]]+30,IF(K771="NET15",Table1[[#This Row],[Posting Date]]+15,IF(K771="COD",Table1[[#This Row],[Posting Date]],"")))</f>
        <v>45687</v>
      </c>
      <c r="M771" s="4">
        <f>IFERROR(IF(Table1[[#This Row],[Type]]="IN",Table1[[#This Row],[RC Date]]-Table1[[#This Row],[Posting Date]],""),"")</f>
        <v>34</v>
      </c>
      <c r="N771">
        <f>IFERROR(IF(Table1[[#This Row],[Balance Due (LC)]]&lt;&gt;0,$S$1-L771,0),"")</f>
        <v>0</v>
      </c>
      <c r="O771">
        <f>IFERROR(IF(Table1[[#This Row],[Type]]="IN",Table1[[#This Row],[C/D (LC)]],IF(Table1[[#This Row],[Type]]="CN",Table1[[#This Row],[C/D (LC)]],"")),"")</f>
        <v>266</v>
      </c>
      <c r="P771" t="str">
        <f>VLOOKUP(Table1[[#This Row],[Cust '#]],ClientInfo!$A:$B,2,0)</f>
        <v>Client_08</v>
      </c>
    </row>
    <row r="772" spans="1:16">
      <c r="A772" t="s">
        <v>114</v>
      </c>
      <c r="B772" t="s">
        <v>12</v>
      </c>
      <c r="C772">
        <v>140018637</v>
      </c>
      <c r="D772" s="1">
        <v>45659</v>
      </c>
      <c r="E772">
        <v>43</v>
      </c>
      <c r="F772">
        <v>0</v>
      </c>
      <c r="G772">
        <v>700002897</v>
      </c>
      <c r="H772" s="1">
        <v>45723</v>
      </c>
      <c r="I772">
        <f>YEAR(Table1[[#This Row],[Posting Date]])</f>
        <v>2025</v>
      </c>
      <c r="J772">
        <f>MONTH(Table1[[#This Row],[Posting Date]])</f>
        <v>1</v>
      </c>
      <c r="K772" t="str">
        <f>IF(Table1[[#This Row],[Type]]="IN",VLOOKUP(Table1[[#This Row],[Cust '#]],ClientInfo!$A:$D,4,0),"")</f>
        <v>NET30</v>
      </c>
      <c r="L772" s="1">
        <f>IF(K772="NET30",Table1[[#This Row],[Posting Date]]+30,IF(K772="NET15",Table1[[#This Row],[Posting Date]]+15,IF(K772="COD",Table1[[#This Row],[Posting Date]],"")))</f>
        <v>45689</v>
      </c>
      <c r="M772" s="4">
        <f>IFERROR(IF(Table1[[#This Row],[Type]]="IN",Table1[[#This Row],[RC Date]]-Table1[[#This Row],[Posting Date]],""),"")</f>
        <v>64</v>
      </c>
      <c r="N772">
        <f>IFERROR(IF(Table1[[#This Row],[Balance Due (LC)]]&lt;&gt;0,$S$1-L772,0),"")</f>
        <v>0</v>
      </c>
      <c r="O772">
        <f>IFERROR(IF(Table1[[#This Row],[Type]]="IN",Table1[[#This Row],[C/D (LC)]],IF(Table1[[#This Row],[Type]]="CN",Table1[[#This Row],[C/D (LC)]],"")),"")</f>
        <v>43</v>
      </c>
      <c r="P772" t="str">
        <f>VLOOKUP(Table1[[#This Row],[Cust '#]],ClientInfo!$A:$B,2,0)</f>
        <v>Client_08</v>
      </c>
    </row>
    <row r="773" spans="1:16">
      <c r="A773" t="s">
        <v>114</v>
      </c>
      <c r="B773" t="s">
        <v>12</v>
      </c>
      <c r="C773">
        <v>140018652</v>
      </c>
      <c r="D773" s="1">
        <v>45659</v>
      </c>
      <c r="E773">
        <v>152</v>
      </c>
      <c r="F773">
        <v>0</v>
      </c>
      <c r="G773">
        <v>700002897</v>
      </c>
      <c r="H773" s="1">
        <v>45723</v>
      </c>
      <c r="I773">
        <f>YEAR(Table1[[#This Row],[Posting Date]])</f>
        <v>2025</v>
      </c>
      <c r="J773">
        <f>MONTH(Table1[[#This Row],[Posting Date]])</f>
        <v>1</v>
      </c>
      <c r="K773" t="str">
        <f>IF(Table1[[#This Row],[Type]]="IN",VLOOKUP(Table1[[#This Row],[Cust '#]],ClientInfo!$A:$D,4,0),"")</f>
        <v>NET30</v>
      </c>
      <c r="L773" s="1">
        <f>IF(K773="NET30",Table1[[#This Row],[Posting Date]]+30,IF(K773="NET15",Table1[[#This Row],[Posting Date]]+15,IF(K773="COD",Table1[[#This Row],[Posting Date]],"")))</f>
        <v>45689</v>
      </c>
      <c r="M773" s="4">
        <f>IFERROR(IF(Table1[[#This Row],[Type]]="IN",Table1[[#This Row],[RC Date]]-Table1[[#This Row],[Posting Date]],""),"")</f>
        <v>64</v>
      </c>
      <c r="N773">
        <f>IFERROR(IF(Table1[[#This Row],[Balance Due (LC)]]&lt;&gt;0,$S$1-L773,0),"")</f>
        <v>0</v>
      </c>
      <c r="O773">
        <f>IFERROR(IF(Table1[[#This Row],[Type]]="IN",Table1[[#This Row],[C/D (LC)]],IF(Table1[[#This Row],[Type]]="CN",Table1[[#This Row],[C/D (LC)]],"")),"")</f>
        <v>152</v>
      </c>
      <c r="P773" t="str">
        <f>VLOOKUP(Table1[[#This Row],[Cust '#]],ClientInfo!$A:$B,2,0)</f>
        <v>Client_08</v>
      </c>
    </row>
    <row r="774" spans="1:16">
      <c r="A774" t="s">
        <v>114</v>
      </c>
      <c r="B774" t="s">
        <v>12</v>
      </c>
      <c r="C774">
        <v>140018846</v>
      </c>
      <c r="D774" s="1">
        <v>45664</v>
      </c>
      <c r="E774">
        <v>7095.55</v>
      </c>
      <c r="F774">
        <v>0</v>
      </c>
      <c r="G774">
        <v>700002897</v>
      </c>
      <c r="H774" s="1">
        <v>45723</v>
      </c>
      <c r="I774">
        <f>YEAR(Table1[[#This Row],[Posting Date]])</f>
        <v>2025</v>
      </c>
      <c r="J774">
        <f>MONTH(Table1[[#This Row],[Posting Date]])</f>
        <v>1</v>
      </c>
      <c r="K774" t="str">
        <f>IF(Table1[[#This Row],[Type]]="IN",VLOOKUP(Table1[[#This Row],[Cust '#]],ClientInfo!$A:$D,4,0),"")</f>
        <v>NET30</v>
      </c>
      <c r="L774" s="1">
        <f>IF(K774="NET30",Table1[[#This Row],[Posting Date]]+30,IF(K774="NET15",Table1[[#This Row],[Posting Date]]+15,IF(K774="COD",Table1[[#This Row],[Posting Date]],"")))</f>
        <v>45694</v>
      </c>
      <c r="M774" s="4">
        <f>IFERROR(IF(Table1[[#This Row],[Type]]="IN",Table1[[#This Row],[RC Date]]-Table1[[#This Row],[Posting Date]],""),"")</f>
        <v>59</v>
      </c>
      <c r="N774">
        <f>IFERROR(IF(Table1[[#This Row],[Balance Due (LC)]]&lt;&gt;0,$S$1-L774,0),"")</f>
        <v>0</v>
      </c>
      <c r="O774">
        <f>IFERROR(IF(Table1[[#This Row],[Type]]="IN",Table1[[#This Row],[C/D (LC)]],IF(Table1[[#This Row],[Type]]="CN",Table1[[#This Row],[C/D (LC)]],"")),"")</f>
        <v>7095.55</v>
      </c>
      <c r="P774" t="str">
        <f>VLOOKUP(Table1[[#This Row],[Cust '#]],ClientInfo!$A:$B,2,0)</f>
        <v>Client_08</v>
      </c>
    </row>
    <row r="775" spans="1:16">
      <c r="A775" t="s">
        <v>114</v>
      </c>
      <c r="B775" t="s">
        <v>12</v>
      </c>
      <c r="C775">
        <v>140019160</v>
      </c>
      <c r="D775" s="1">
        <v>45671</v>
      </c>
      <c r="E775">
        <v>8249.2000000000007</v>
      </c>
      <c r="F775">
        <v>0</v>
      </c>
      <c r="G775">
        <v>700002897</v>
      </c>
      <c r="H775" s="1">
        <v>45723</v>
      </c>
      <c r="I775">
        <f>YEAR(Table1[[#This Row],[Posting Date]])</f>
        <v>2025</v>
      </c>
      <c r="J775">
        <f>MONTH(Table1[[#This Row],[Posting Date]])</f>
        <v>1</v>
      </c>
      <c r="K775" t="str">
        <f>IF(Table1[[#This Row],[Type]]="IN",VLOOKUP(Table1[[#This Row],[Cust '#]],ClientInfo!$A:$D,4,0),"")</f>
        <v>NET30</v>
      </c>
      <c r="L775" s="1">
        <f>IF(K775="NET30",Table1[[#This Row],[Posting Date]]+30,IF(K775="NET15",Table1[[#This Row],[Posting Date]]+15,IF(K775="COD",Table1[[#This Row],[Posting Date]],"")))</f>
        <v>45701</v>
      </c>
      <c r="M775" s="4">
        <f>IFERROR(IF(Table1[[#This Row],[Type]]="IN",Table1[[#This Row],[RC Date]]-Table1[[#This Row],[Posting Date]],""),"")</f>
        <v>52</v>
      </c>
      <c r="N775">
        <f>IFERROR(IF(Table1[[#This Row],[Balance Due (LC)]]&lt;&gt;0,$S$1-L775,0),"")</f>
        <v>0</v>
      </c>
      <c r="O775">
        <f>IFERROR(IF(Table1[[#This Row],[Type]]="IN",Table1[[#This Row],[C/D (LC)]],IF(Table1[[#This Row],[Type]]="CN",Table1[[#This Row],[C/D (LC)]],"")),"")</f>
        <v>8249.2000000000007</v>
      </c>
      <c r="P775" t="str">
        <f>VLOOKUP(Table1[[#This Row],[Cust '#]],ClientInfo!$A:$B,2,0)</f>
        <v>Client_08</v>
      </c>
    </row>
    <row r="776" spans="1:16">
      <c r="A776" t="s">
        <v>114</v>
      </c>
      <c r="B776" t="s">
        <v>12</v>
      </c>
      <c r="C776">
        <v>140019194</v>
      </c>
      <c r="D776" s="1">
        <v>45671</v>
      </c>
      <c r="E776">
        <v>280</v>
      </c>
      <c r="F776">
        <v>0</v>
      </c>
      <c r="G776">
        <v>700002897</v>
      </c>
      <c r="H776" s="1">
        <v>45723</v>
      </c>
      <c r="I776">
        <f>YEAR(Table1[[#This Row],[Posting Date]])</f>
        <v>2025</v>
      </c>
      <c r="J776">
        <f>MONTH(Table1[[#This Row],[Posting Date]])</f>
        <v>1</v>
      </c>
      <c r="K776" t="str">
        <f>IF(Table1[[#This Row],[Type]]="IN",VLOOKUP(Table1[[#This Row],[Cust '#]],ClientInfo!$A:$D,4,0),"")</f>
        <v>NET30</v>
      </c>
      <c r="L776" s="1">
        <f>IF(K776="NET30",Table1[[#This Row],[Posting Date]]+30,IF(K776="NET15",Table1[[#This Row],[Posting Date]]+15,IF(K776="COD",Table1[[#This Row],[Posting Date]],"")))</f>
        <v>45701</v>
      </c>
      <c r="M776" s="4">
        <f>IFERROR(IF(Table1[[#This Row],[Type]]="IN",Table1[[#This Row],[RC Date]]-Table1[[#This Row],[Posting Date]],""),"")</f>
        <v>52</v>
      </c>
      <c r="N776">
        <f>IFERROR(IF(Table1[[#This Row],[Balance Due (LC)]]&lt;&gt;0,$S$1-L776,0),"")</f>
        <v>0</v>
      </c>
      <c r="O776">
        <f>IFERROR(IF(Table1[[#This Row],[Type]]="IN",Table1[[#This Row],[C/D (LC)]],IF(Table1[[#This Row],[Type]]="CN",Table1[[#This Row],[C/D (LC)]],"")),"")</f>
        <v>280</v>
      </c>
      <c r="P776" t="str">
        <f>VLOOKUP(Table1[[#This Row],[Cust '#]],ClientInfo!$A:$B,2,0)</f>
        <v>Client_08</v>
      </c>
    </row>
    <row r="777" spans="1:16">
      <c r="A777" t="s">
        <v>114</v>
      </c>
      <c r="B777" t="s">
        <v>12</v>
      </c>
      <c r="C777">
        <v>140019495</v>
      </c>
      <c r="D777" s="1">
        <v>45678</v>
      </c>
      <c r="E777">
        <v>4445.8999999999996</v>
      </c>
      <c r="F777">
        <v>0</v>
      </c>
      <c r="G777">
        <v>700002897</v>
      </c>
      <c r="H777" s="1">
        <v>45723</v>
      </c>
      <c r="I777">
        <f>YEAR(Table1[[#This Row],[Posting Date]])</f>
        <v>2025</v>
      </c>
      <c r="J777">
        <f>MONTH(Table1[[#This Row],[Posting Date]])</f>
        <v>1</v>
      </c>
      <c r="K777" t="str">
        <f>IF(Table1[[#This Row],[Type]]="IN",VLOOKUP(Table1[[#This Row],[Cust '#]],ClientInfo!$A:$D,4,0),"")</f>
        <v>NET30</v>
      </c>
      <c r="L777" s="1">
        <f>IF(K777="NET30",Table1[[#This Row],[Posting Date]]+30,IF(K777="NET15",Table1[[#This Row],[Posting Date]]+15,IF(K777="COD",Table1[[#This Row],[Posting Date]],"")))</f>
        <v>45708</v>
      </c>
      <c r="M777" s="4">
        <f>IFERROR(IF(Table1[[#This Row],[Type]]="IN",Table1[[#This Row],[RC Date]]-Table1[[#This Row],[Posting Date]],""),"")</f>
        <v>45</v>
      </c>
      <c r="N777">
        <f>IFERROR(IF(Table1[[#This Row],[Balance Due (LC)]]&lt;&gt;0,$S$1-L777,0),"")</f>
        <v>0</v>
      </c>
      <c r="O777">
        <f>IFERROR(IF(Table1[[#This Row],[Type]]="IN",Table1[[#This Row],[C/D (LC)]],IF(Table1[[#This Row],[Type]]="CN",Table1[[#This Row],[C/D (LC)]],"")),"")</f>
        <v>4445.8999999999996</v>
      </c>
      <c r="P777" t="str">
        <f>VLOOKUP(Table1[[#This Row],[Cust '#]],ClientInfo!$A:$B,2,0)</f>
        <v>Client_08</v>
      </c>
    </row>
    <row r="778" spans="1:16">
      <c r="A778" t="s">
        <v>114</v>
      </c>
      <c r="B778" t="s">
        <v>12</v>
      </c>
      <c r="C778">
        <v>140019539</v>
      </c>
      <c r="D778" s="1">
        <v>45679</v>
      </c>
      <c r="E778">
        <v>492</v>
      </c>
      <c r="F778">
        <v>0</v>
      </c>
      <c r="G778">
        <v>700002897</v>
      </c>
      <c r="H778" s="1">
        <v>45723</v>
      </c>
      <c r="I778">
        <f>YEAR(Table1[[#This Row],[Posting Date]])</f>
        <v>2025</v>
      </c>
      <c r="J778">
        <f>MONTH(Table1[[#This Row],[Posting Date]])</f>
        <v>1</v>
      </c>
      <c r="K778" t="str">
        <f>IF(Table1[[#This Row],[Type]]="IN",VLOOKUP(Table1[[#This Row],[Cust '#]],ClientInfo!$A:$D,4,0),"")</f>
        <v>NET30</v>
      </c>
      <c r="L778" s="1">
        <f>IF(K778="NET30",Table1[[#This Row],[Posting Date]]+30,IF(K778="NET15",Table1[[#This Row],[Posting Date]]+15,IF(K778="COD",Table1[[#This Row],[Posting Date]],"")))</f>
        <v>45709</v>
      </c>
      <c r="M778" s="4">
        <f>IFERROR(IF(Table1[[#This Row],[Type]]="IN",Table1[[#This Row],[RC Date]]-Table1[[#This Row],[Posting Date]],""),"")</f>
        <v>44</v>
      </c>
      <c r="N778">
        <f>IFERROR(IF(Table1[[#This Row],[Balance Due (LC)]]&lt;&gt;0,$S$1-L778,0),"")</f>
        <v>0</v>
      </c>
      <c r="O778">
        <f>IFERROR(IF(Table1[[#This Row],[Type]]="IN",Table1[[#This Row],[C/D (LC)]],IF(Table1[[#This Row],[Type]]="CN",Table1[[#This Row],[C/D (LC)]],"")),"")</f>
        <v>492</v>
      </c>
      <c r="P778" t="str">
        <f>VLOOKUP(Table1[[#This Row],[Cust '#]],ClientInfo!$A:$B,2,0)</f>
        <v>Client_08</v>
      </c>
    </row>
    <row r="779" spans="1:16">
      <c r="A779" t="s">
        <v>114</v>
      </c>
      <c r="B779" t="s">
        <v>12</v>
      </c>
      <c r="C779">
        <v>140019576</v>
      </c>
      <c r="D779" s="1">
        <v>45679</v>
      </c>
      <c r="E779">
        <v>102</v>
      </c>
      <c r="F779">
        <v>0</v>
      </c>
      <c r="G779">
        <v>700002897</v>
      </c>
      <c r="H779" s="1">
        <v>45723</v>
      </c>
      <c r="I779">
        <f>YEAR(Table1[[#This Row],[Posting Date]])</f>
        <v>2025</v>
      </c>
      <c r="J779">
        <f>MONTH(Table1[[#This Row],[Posting Date]])</f>
        <v>1</v>
      </c>
      <c r="K779" t="str">
        <f>IF(Table1[[#This Row],[Type]]="IN",VLOOKUP(Table1[[#This Row],[Cust '#]],ClientInfo!$A:$D,4,0),"")</f>
        <v>NET30</v>
      </c>
      <c r="L779" s="1">
        <f>IF(K779="NET30",Table1[[#This Row],[Posting Date]]+30,IF(K779="NET15",Table1[[#This Row],[Posting Date]]+15,IF(K779="COD",Table1[[#This Row],[Posting Date]],"")))</f>
        <v>45709</v>
      </c>
      <c r="M779" s="4">
        <f>IFERROR(IF(Table1[[#This Row],[Type]]="IN",Table1[[#This Row],[RC Date]]-Table1[[#This Row],[Posting Date]],""),"")</f>
        <v>44</v>
      </c>
      <c r="N779">
        <f>IFERROR(IF(Table1[[#This Row],[Balance Due (LC)]]&lt;&gt;0,$S$1-L779,0),"")</f>
        <v>0</v>
      </c>
      <c r="O779">
        <f>IFERROR(IF(Table1[[#This Row],[Type]]="IN",Table1[[#This Row],[C/D (LC)]],IF(Table1[[#This Row],[Type]]="CN",Table1[[#This Row],[C/D (LC)]],"")),"")</f>
        <v>102</v>
      </c>
      <c r="P779" t="str">
        <f>VLOOKUP(Table1[[#This Row],[Cust '#]],ClientInfo!$A:$B,2,0)</f>
        <v>Client_08</v>
      </c>
    </row>
    <row r="780" spans="1:16">
      <c r="A780" t="s">
        <v>114</v>
      </c>
      <c r="B780" t="s">
        <v>13</v>
      </c>
      <c r="C780">
        <v>150000837</v>
      </c>
      <c r="D780" s="1">
        <v>45680</v>
      </c>
      <c r="E780">
        <v>-122</v>
      </c>
      <c r="F780">
        <v>0</v>
      </c>
      <c r="G780">
        <v>700002626</v>
      </c>
      <c r="H780" s="1">
        <v>45691</v>
      </c>
      <c r="I780">
        <f>YEAR(Table1[[#This Row],[Posting Date]])</f>
        <v>2025</v>
      </c>
      <c r="J780">
        <f>MONTH(Table1[[#This Row],[Posting Date]])</f>
        <v>1</v>
      </c>
      <c r="K780" t="str">
        <f>IF(Table1[[#This Row],[Type]]="IN",VLOOKUP(Table1[[#This Row],[Cust '#]],ClientInfo!$A:$D,4,0),"")</f>
        <v/>
      </c>
      <c r="L780" s="1" t="str">
        <f>IF(K780="NET30",Table1[[#This Row],[Posting Date]]+30,IF(K780="NET15",Table1[[#This Row],[Posting Date]]+15,IF(K780="COD",Table1[[#This Row],[Posting Date]],"")))</f>
        <v/>
      </c>
      <c r="M780" s="4" t="str">
        <f>IFERROR(IF(Table1[[#This Row],[Type]]="IN",Table1[[#This Row],[RC Date]]-Table1[[#This Row],[Posting Date]],""),"")</f>
        <v/>
      </c>
      <c r="N780">
        <f>IFERROR(IF(Table1[[#This Row],[Balance Due (LC)]]&lt;&gt;0,$S$1-L780,0),"")</f>
        <v>0</v>
      </c>
      <c r="O780">
        <f>IFERROR(IF(Table1[[#This Row],[Type]]="IN",Table1[[#This Row],[C/D (LC)]],IF(Table1[[#This Row],[Type]]="CN",Table1[[#This Row],[C/D (LC)]],"")),"")</f>
        <v>-122</v>
      </c>
      <c r="P780" t="str">
        <f>VLOOKUP(Table1[[#This Row],[Cust '#]],ClientInfo!$A:$B,2,0)</f>
        <v>Client_08</v>
      </c>
    </row>
    <row r="781" spans="1:16">
      <c r="A781" t="s">
        <v>114</v>
      </c>
      <c r="B781" t="s">
        <v>13</v>
      </c>
      <c r="C781">
        <v>150000859</v>
      </c>
      <c r="D781" s="1">
        <v>45684</v>
      </c>
      <c r="E781">
        <v>-20</v>
      </c>
      <c r="F781">
        <v>0</v>
      </c>
      <c r="G781">
        <v>700002897</v>
      </c>
      <c r="H781" s="1">
        <v>45723</v>
      </c>
      <c r="I781">
        <f>YEAR(Table1[[#This Row],[Posting Date]])</f>
        <v>2025</v>
      </c>
      <c r="J781">
        <f>MONTH(Table1[[#This Row],[Posting Date]])</f>
        <v>1</v>
      </c>
      <c r="K781" t="str">
        <f>IF(Table1[[#This Row],[Type]]="IN",VLOOKUP(Table1[[#This Row],[Cust '#]],ClientInfo!$A:$D,4,0),"")</f>
        <v/>
      </c>
      <c r="L781" s="1" t="str">
        <f>IF(K781="NET30",Table1[[#This Row],[Posting Date]]+30,IF(K781="NET15",Table1[[#This Row],[Posting Date]]+15,IF(K781="COD",Table1[[#This Row],[Posting Date]],"")))</f>
        <v/>
      </c>
      <c r="M781" s="4" t="str">
        <f>IFERROR(IF(Table1[[#This Row],[Type]]="IN",Table1[[#This Row],[RC Date]]-Table1[[#This Row],[Posting Date]],""),"")</f>
        <v/>
      </c>
      <c r="N781">
        <f>IFERROR(IF(Table1[[#This Row],[Balance Due (LC)]]&lt;&gt;0,$S$1-L781,0),"")</f>
        <v>0</v>
      </c>
      <c r="O781">
        <f>IFERROR(IF(Table1[[#This Row],[Type]]="IN",Table1[[#This Row],[C/D (LC)]],IF(Table1[[#This Row],[Type]]="CN",Table1[[#This Row],[C/D (LC)]],"")),"")</f>
        <v>-20</v>
      </c>
      <c r="P781" t="str">
        <f>VLOOKUP(Table1[[#This Row],[Cust '#]],ClientInfo!$A:$B,2,0)</f>
        <v>Client_08</v>
      </c>
    </row>
    <row r="782" spans="1:16">
      <c r="A782" t="s">
        <v>114</v>
      </c>
      <c r="B782" t="s">
        <v>12</v>
      </c>
      <c r="C782">
        <v>140019785</v>
      </c>
      <c r="D782" s="1">
        <v>45685</v>
      </c>
      <c r="E782">
        <v>6981.2</v>
      </c>
      <c r="F782">
        <v>0</v>
      </c>
      <c r="G782">
        <v>700002897</v>
      </c>
      <c r="H782" s="1">
        <v>45723</v>
      </c>
      <c r="I782">
        <f>YEAR(Table1[[#This Row],[Posting Date]])</f>
        <v>2025</v>
      </c>
      <c r="J782">
        <f>MONTH(Table1[[#This Row],[Posting Date]])</f>
        <v>1</v>
      </c>
      <c r="K782" t="str">
        <f>IF(Table1[[#This Row],[Type]]="IN",VLOOKUP(Table1[[#This Row],[Cust '#]],ClientInfo!$A:$D,4,0),"")</f>
        <v>NET30</v>
      </c>
      <c r="L782" s="1">
        <f>IF(K782="NET30",Table1[[#This Row],[Posting Date]]+30,IF(K782="NET15",Table1[[#This Row],[Posting Date]]+15,IF(K782="COD",Table1[[#This Row],[Posting Date]],"")))</f>
        <v>45715</v>
      </c>
      <c r="M782" s="4">
        <f>IFERROR(IF(Table1[[#This Row],[Type]]="IN",Table1[[#This Row],[RC Date]]-Table1[[#This Row],[Posting Date]],""),"")</f>
        <v>38</v>
      </c>
      <c r="N782">
        <f>IFERROR(IF(Table1[[#This Row],[Balance Due (LC)]]&lt;&gt;0,$S$1-L782,0),"")</f>
        <v>0</v>
      </c>
      <c r="O782">
        <f>IFERROR(IF(Table1[[#This Row],[Type]]="IN",Table1[[#This Row],[C/D (LC)]],IF(Table1[[#This Row],[Type]]="CN",Table1[[#This Row],[C/D (LC)]],"")),"")</f>
        <v>6981.2</v>
      </c>
      <c r="P782" t="str">
        <f>VLOOKUP(Table1[[#This Row],[Cust '#]],ClientInfo!$A:$B,2,0)</f>
        <v>Client_08</v>
      </c>
    </row>
    <row r="783" spans="1:16">
      <c r="A783" t="s">
        <v>114</v>
      </c>
      <c r="B783" t="s">
        <v>12</v>
      </c>
      <c r="C783">
        <v>140019911</v>
      </c>
      <c r="D783" s="1">
        <v>45687</v>
      </c>
      <c r="E783">
        <v>528</v>
      </c>
      <c r="F783">
        <v>0</v>
      </c>
      <c r="G783">
        <v>700002897</v>
      </c>
      <c r="H783" s="1">
        <v>45723</v>
      </c>
      <c r="I783">
        <f>YEAR(Table1[[#This Row],[Posting Date]])</f>
        <v>2025</v>
      </c>
      <c r="J783">
        <f>MONTH(Table1[[#This Row],[Posting Date]])</f>
        <v>1</v>
      </c>
      <c r="K783" t="str">
        <f>IF(Table1[[#This Row],[Type]]="IN",VLOOKUP(Table1[[#This Row],[Cust '#]],ClientInfo!$A:$D,4,0),"")</f>
        <v>NET30</v>
      </c>
      <c r="L783" s="1">
        <f>IF(K783="NET30",Table1[[#This Row],[Posting Date]]+30,IF(K783="NET15",Table1[[#This Row],[Posting Date]]+15,IF(K783="COD",Table1[[#This Row],[Posting Date]],"")))</f>
        <v>45717</v>
      </c>
      <c r="M783" s="4">
        <f>IFERROR(IF(Table1[[#This Row],[Type]]="IN",Table1[[#This Row],[RC Date]]-Table1[[#This Row],[Posting Date]],""),"")</f>
        <v>36</v>
      </c>
      <c r="N783">
        <f>IFERROR(IF(Table1[[#This Row],[Balance Due (LC)]]&lt;&gt;0,$S$1-L783,0),"")</f>
        <v>0</v>
      </c>
      <c r="O783">
        <f>IFERROR(IF(Table1[[#This Row],[Type]]="IN",Table1[[#This Row],[C/D (LC)]],IF(Table1[[#This Row],[Type]]="CN",Table1[[#This Row],[C/D (LC)]],"")),"")</f>
        <v>528</v>
      </c>
      <c r="P783" t="str">
        <f>VLOOKUP(Table1[[#This Row],[Cust '#]],ClientInfo!$A:$B,2,0)</f>
        <v>Client_08</v>
      </c>
    </row>
    <row r="784" spans="1:16">
      <c r="A784" t="s">
        <v>114</v>
      </c>
      <c r="B784" t="s">
        <v>12</v>
      </c>
      <c r="C784">
        <v>140019948</v>
      </c>
      <c r="D784" s="1">
        <v>45687</v>
      </c>
      <c r="E784">
        <v>395.8</v>
      </c>
      <c r="F784">
        <v>0</v>
      </c>
      <c r="G784">
        <v>700002897</v>
      </c>
      <c r="H784" s="1">
        <v>45723</v>
      </c>
      <c r="I784">
        <f>YEAR(Table1[[#This Row],[Posting Date]])</f>
        <v>2025</v>
      </c>
      <c r="J784">
        <f>MONTH(Table1[[#This Row],[Posting Date]])</f>
        <v>1</v>
      </c>
      <c r="K784" t="str">
        <f>IF(Table1[[#This Row],[Type]]="IN",VLOOKUP(Table1[[#This Row],[Cust '#]],ClientInfo!$A:$D,4,0),"")</f>
        <v>NET30</v>
      </c>
      <c r="L784" s="1">
        <f>IF(K784="NET30",Table1[[#This Row],[Posting Date]]+30,IF(K784="NET15",Table1[[#This Row],[Posting Date]]+15,IF(K784="COD",Table1[[#This Row],[Posting Date]],"")))</f>
        <v>45717</v>
      </c>
      <c r="M784" s="4">
        <f>IFERROR(IF(Table1[[#This Row],[Type]]="IN",Table1[[#This Row],[RC Date]]-Table1[[#This Row],[Posting Date]],""),"")</f>
        <v>36</v>
      </c>
      <c r="N784">
        <f>IFERROR(IF(Table1[[#This Row],[Balance Due (LC)]]&lt;&gt;0,$S$1-L784,0),"")</f>
        <v>0</v>
      </c>
      <c r="O784">
        <f>IFERROR(IF(Table1[[#This Row],[Type]]="IN",Table1[[#This Row],[C/D (LC)]],IF(Table1[[#This Row],[Type]]="CN",Table1[[#This Row],[C/D (LC)]],"")),"")</f>
        <v>395.8</v>
      </c>
      <c r="P784" t="str">
        <f>VLOOKUP(Table1[[#This Row],[Cust '#]],ClientInfo!$A:$B,2,0)</f>
        <v>Client_08</v>
      </c>
    </row>
    <row r="785" spans="1:16">
      <c r="A785" t="s">
        <v>114</v>
      </c>
      <c r="B785" t="s">
        <v>12</v>
      </c>
      <c r="C785">
        <v>140019949</v>
      </c>
      <c r="D785" s="1">
        <v>45687</v>
      </c>
      <c r="E785">
        <v>130</v>
      </c>
      <c r="F785">
        <v>0</v>
      </c>
      <c r="G785">
        <v>700002897</v>
      </c>
      <c r="H785" s="1">
        <v>45723</v>
      </c>
      <c r="I785">
        <f>YEAR(Table1[[#This Row],[Posting Date]])</f>
        <v>2025</v>
      </c>
      <c r="J785">
        <f>MONTH(Table1[[#This Row],[Posting Date]])</f>
        <v>1</v>
      </c>
      <c r="K785" t="str">
        <f>IF(Table1[[#This Row],[Type]]="IN",VLOOKUP(Table1[[#This Row],[Cust '#]],ClientInfo!$A:$D,4,0),"")</f>
        <v>NET30</v>
      </c>
      <c r="L785" s="1">
        <f>IF(K785="NET30",Table1[[#This Row],[Posting Date]]+30,IF(K785="NET15",Table1[[#This Row],[Posting Date]]+15,IF(K785="COD",Table1[[#This Row],[Posting Date]],"")))</f>
        <v>45717</v>
      </c>
      <c r="M785" s="4">
        <f>IFERROR(IF(Table1[[#This Row],[Type]]="IN",Table1[[#This Row],[RC Date]]-Table1[[#This Row],[Posting Date]],""),"")</f>
        <v>36</v>
      </c>
      <c r="N785">
        <f>IFERROR(IF(Table1[[#This Row],[Balance Due (LC)]]&lt;&gt;0,$S$1-L785,0),"")</f>
        <v>0</v>
      </c>
      <c r="O785">
        <f>IFERROR(IF(Table1[[#This Row],[Type]]="IN",Table1[[#This Row],[C/D (LC)]],IF(Table1[[#This Row],[Type]]="CN",Table1[[#This Row],[C/D (LC)]],"")),"")</f>
        <v>130</v>
      </c>
      <c r="P785" t="str">
        <f>VLOOKUP(Table1[[#This Row],[Cust '#]],ClientInfo!$A:$B,2,0)</f>
        <v>Client_08</v>
      </c>
    </row>
    <row r="786" spans="1:16">
      <c r="A786" t="s">
        <v>114</v>
      </c>
      <c r="B786" t="s">
        <v>10</v>
      </c>
      <c r="C786">
        <v>700002626</v>
      </c>
      <c r="D786" s="1">
        <v>45691</v>
      </c>
      <c r="E786">
        <v>-30089.7</v>
      </c>
      <c r="F786">
        <v>0</v>
      </c>
      <c r="G786">
        <v>700002626</v>
      </c>
      <c r="H786" s="1">
        <v>45691</v>
      </c>
      <c r="I786">
        <f>YEAR(Table1[[#This Row],[Posting Date]])</f>
        <v>2025</v>
      </c>
      <c r="J786">
        <f>MONTH(Table1[[#This Row],[Posting Date]])</f>
        <v>2</v>
      </c>
      <c r="K786" t="str">
        <f>IF(Table1[[#This Row],[Type]]="IN",VLOOKUP(Table1[[#This Row],[Cust '#]],ClientInfo!$A:$D,4,0),"")</f>
        <v/>
      </c>
      <c r="L786" s="1" t="str">
        <f>IF(K786="NET30",Table1[[#This Row],[Posting Date]]+30,IF(K786="NET15",Table1[[#This Row],[Posting Date]]+15,IF(K786="COD",Table1[[#This Row],[Posting Date]],"")))</f>
        <v/>
      </c>
      <c r="M786" s="4" t="str">
        <f>IFERROR(IF(Table1[[#This Row],[Type]]="IN",Table1[[#This Row],[RC Date]]-Table1[[#This Row],[Posting Date]],""),"")</f>
        <v/>
      </c>
      <c r="N786">
        <f>IFERROR(IF(Table1[[#This Row],[Balance Due (LC)]]&lt;&gt;0,$S$1-L786,0),"")</f>
        <v>0</v>
      </c>
      <c r="O786" t="str">
        <f>IFERROR(IF(Table1[[#This Row],[Type]]="IN",Table1[[#This Row],[C/D (LC)]],IF(Table1[[#This Row],[Type]]="CN",Table1[[#This Row],[C/D (LC)]],"")),"")</f>
        <v/>
      </c>
      <c r="P786" t="str">
        <f>VLOOKUP(Table1[[#This Row],[Cust '#]],ClientInfo!$A:$B,2,0)</f>
        <v>Client_08</v>
      </c>
    </row>
    <row r="787" spans="1:16">
      <c r="A787" t="s">
        <v>114</v>
      </c>
      <c r="B787" t="s">
        <v>12</v>
      </c>
      <c r="C787">
        <v>140020127</v>
      </c>
      <c r="D787" s="1">
        <v>45692</v>
      </c>
      <c r="E787">
        <v>9304.2000000000007</v>
      </c>
      <c r="F787">
        <v>0</v>
      </c>
      <c r="G787">
        <v>700003275</v>
      </c>
      <c r="H787" s="1">
        <v>45765</v>
      </c>
      <c r="I787">
        <f>YEAR(Table1[[#This Row],[Posting Date]])</f>
        <v>2025</v>
      </c>
      <c r="J787">
        <f>MONTH(Table1[[#This Row],[Posting Date]])</f>
        <v>2</v>
      </c>
      <c r="K787" t="str">
        <f>IF(Table1[[#This Row],[Type]]="IN",VLOOKUP(Table1[[#This Row],[Cust '#]],ClientInfo!$A:$D,4,0),"")</f>
        <v>NET30</v>
      </c>
      <c r="L787" s="1">
        <f>IF(K787="NET30",Table1[[#This Row],[Posting Date]]+30,IF(K787="NET15",Table1[[#This Row],[Posting Date]]+15,IF(K787="COD",Table1[[#This Row],[Posting Date]],"")))</f>
        <v>45722</v>
      </c>
      <c r="M787" s="4">
        <f>IFERROR(IF(Table1[[#This Row],[Type]]="IN",Table1[[#This Row],[RC Date]]-Table1[[#This Row],[Posting Date]],""),"")</f>
        <v>73</v>
      </c>
      <c r="N787">
        <f>IFERROR(IF(Table1[[#This Row],[Balance Due (LC)]]&lt;&gt;0,$S$1-L787,0),"")</f>
        <v>0</v>
      </c>
      <c r="O787">
        <f>IFERROR(IF(Table1[[#This Row],[Type]]="IN",Table1[[#This Row],[C/D (LC)]],IF(Table1[[#This Row],[Type]]="CN",Table1[[#This Row],[C/D (LC)]],"")),"")</f>
        <v>9304.2000000000007</v>
      </c>
      <c r="P787" t="str">
        <f>VLOOKUP(Table1[[#This Row],[Cust '#]],ClientInfo!$A:$B,2,0)</f>
        <v>Client_08</v>
      </c>
    </row>
    <row r="788" spans="1:16">
      <c r="A788" t="s">
        <v>114</v>
      </c>
      <c r="B788" t="s">
        <v>13</v>
      </c>
      <c r="C788">
        <v>150000884</v>
      </c>
      <c r="D788" s="1">
        <v>45692</v>
      </c>
      <c r="E788">
        <v>-71</v>
      </c>
      <c r="F788">
        <v>0</v>
      </c>
      <c r="G788">
        <v>700002897</v>
      </c>
      <c r="H788" s="1">
        <v>45723</v>
      </c>
      <c r="I788">
        <f>YEAR(Table1[[#This Row],[Posting Date]])</f>
        <v>2025</v>
      </c>
      <c r="J788">
        <f>MONTH(Table1[[#This Row],[Posting Date]])</f>
        <v>2</v>
      </c>
      <c r="K788" t="str">
        <f>IF(Table1[[#This Row],[Type]]="IN",VLOOKUP(Table1[[#This Row],[Cust '#]],ClientInfo!$A:$D,4,0),"")</f>
        <v/>
      </c>
      <c r="L788" s="1" t="str">
        <f>IF(K788="NET30",Table1[[#This Row],[Posting Date]]+30,IF(K788="NET15",Table1[[#This Row],[Posting Date]]+15,IF(K788="COD",Table1[[#This Row],[Posting Date]],"")))</f>
        <v/>
      </c>
      <c r="M788" s="4" t="str">
        <f>IFERROR(IF(Table1[[#This Row],[Type]]="IN",Table1[[#This Row],[RC Date]]-Table1[[#This Row],[Posting Date]],""),"")</f>
        <v/>
      </c>
      <c r="N788">
        <f>IFERROR(IF(Table1[[#This Row],[Balance Due (LC)]]&lt;&gt;0,$S$1-L788,0),"")</f>
        <v>0</v>
      </c>
      <c r="O788">
        <f>IFERROR(IF(Table1[[#This Row],[Type]]="IN",Table1[[#This Row],[C/D (LC)]],IF(Table1[[#This Row],[Type]]="CN",Table1[[#This Row],[C/D (LC)]],"")),"")</f>
        <v>-71</v>
      </c>
      <c r="P788" t="str">
        <f>VLOOKUP(Table1[[#This Row],[Cust '#]],ClientInfo!$A:$B,2,0)</f>
        <v>Client_08</v>
      </c>
    </row>
    <row r="789" spans="1:16">
      <c r="A789" t="s">
        <v>114</v>
      </c>
      <c r="B789" t="s">
        <v>12</v>
      </c>
      <c r="C789">
        <v>140020450</v>
      </c>
      <c r="D789" s="1">
        <v>45699</v>
      </c>
      <c r="E789">
        <v>10914</v>
      </c>
      <c r="F789">
        <v>0</v>
      </c>
      <c r="G789">
        <v>700003176</v>
      </c>
      <c r="H789" s="1">
        <v>45755</v>
      </c>
      <c r="I789">
        <f>YEAR(Table1[[#This Row],[Posting Date]])</f>
        <v>2025</v>
      </c>
      <c r="J789">
        <f>MONTH(Table1[[#This Row],[Posting Date]])</f>
        <v>2</v>
      </c>
      <c r="K789" t="str">
        <f>IF(Table1[[#This Row],[Type]]="IN",VLOOKUP(Table1[[#This Row],[Cust '#]],ClientInfo!$A:$D,4,0),"")</f>
        <v>NET30</v>
      </c>
      <c r="L789" s="1">
        <f>IF(K789="NET30",Table1[[#This Row],[Posting Date]]+30,IF(K789="NET15",Table1[[#This Row],[Posting Date]]+15,IF(K789="COD",Table1[[#This Row],[Posting Date]],"")))</f>
        <v>45729</v>
      </c>
      <c r="M789" s="4">
        <f>IFERROR(IF(Table1[[#This Row],[Type]]="IN",Table1[[#This Row],[RC Date]]-Table1[[#This Row],[Posting Date]],""),"")</f>
        <v>56</v>
      </c>
      <c r="N789">
        <f>IFERROR(IF(Table1[[#This Row],[Balance Due (LC)]]&lt;&gt;0,$S$1-L789,0),"")</f>
        <v>0</v>
      </c>
      <c r="O789">
        <f>IFERROR(IF(Table1[[#This Row],[Type]]="IN",Table1[[#This Row],[C/D (LC)]],IF(Table1[[#This Row],[Type]]="CN",Table1[[#This Row],[C/D (LC)]],"")),"")</f>
        <v>10914</v>
      </c>
      <c r="P789" t="str">
        <f>VLOOKUP(Table1[[#This Row],[Cust '#]],ClientInfo!$A:$B,2,0)</f>
        <v>Client_08</v>
      </c>
    </row>
    <row r="790" spans="1:16">
      <c r="A790" t="s">
        <v>114</v>
      </c>
      <c r="B790" t="s">
        <v>12</v>
      </c>
      <c r="C790">
        <v>140020698</v>
      </c>
      <c r="D790" s="1">
        <v>45702</v>
      </c>
      <c r="E790">
        <v>267</v>
      </c>
      <c r="F790">
        <v>0</v>
      </c>
      <c r="G790">
        <v>700003176</v>
      </c>
      <c r="H790" s="1">
        <v>45755</v>
      </c>
      <c r="I790">
        <f>YEAR(Table1[[#This Row],[Posting Date]])</f>
        <v>2025</v>
      </c>
      <c r="J790">
        <f>MONTH(Table1[[#This Row],[Posting Date]])</f>
        <v>2</v>
      </c>
      <c r="K790" t="str">
        <f>IF(Table1[[#This Row],[Type]]="IN",VLOOKUP(Table1[[#This Row],[Cust '#]],ClientInfo!$A:$D,4,0),"")</f>
        <v>NET30</v>
      </c>
      <c r="L790" s="1">
        <f>IF(K790="NET30",Table1[[#This Row],[Posting Date]]+30,IF(K790="NET15",Table1[[#This Row],[Posting Date]]+15,IF(K790="COD",Table1[[#This Row],[Posting Date]],"")))</f>
        <v>45732</v>
      </c>
      <c r="M790" s="4">
        <f>IFERROR(IF(Table1[[#This Row],[Type]]="IN",Table1[[#This Row],[RC Date]]-Table1[[#This Row],[Posting Date]],""),"")</f>
        <v>53</v>
      </c>
      <c r="N790">
        <f>IFERROR(IF(Table1[[#This Row],[Balance Due (LC)]]&lt;&gt;0,$S$1-L790,0),"")</f>
        <v>0</v>
      </c>
      <c r="O790">
        <f>IFERROR(IF(Table1[[#This Row],[Type]]="IN",Table1[[#This Row],[C/D (LC)]],IF(Table1[[#This Row],[Type]]="CN",Table1[[#This Row],[C/D (LC)]],"")),"")</f>
        <v>267</v>
      </c>
      <c r="P790" t="str">
        <f>VLOOKUP(Table1[[#This Row],[Cust '#]],ClientInfo!$A:$B,2,0)</f>
        <v>Client_08</v>
      </c>
    </row>
    <row r="791" spans="1:16">
      <c r="A791" t="s">
        <v>114</v>
      </c>
      <c r="B791" t="s">
        <v>12</v>
      </c>
      <c r="C791">
        <v>140020775</v>
      </c>
      <c r="D791" s="1">
        <v>45706</v>
      </c>
      <c r="E791">
        <v>8225.4</v>
      </c>
      <c r="F791">
        <v>0</v>
      </c>
      <c r="G791">
        <v>700003176</v>
      </c>
      <c r="H791" s="1">
        <v>45755</v>
      </c>
      <c r="I791">
        <f>YEAR(Table1[[#This Row],[Posting Date]])</f>
        <v>2025</v>
      </c>
      <c r="J791">
        <f>MONTH(Table1[[#This Row],[Posting Date]])</f>
        <v>2</v>
      </c>
      <c r="K791" t="str">
        <f>IF(Table1[[#This Row],[Type]]="IN",VLOOKUP(Table1[[#This Row],[Cust '#]],ClientInfo!$A:$D,4,0),"")</f>
        <v>NET30</v>
      </c>
      <c r="L791" s="1">
        <f>IF(K791="NET30",Table1[[#This Row],[Posting Date]]+30,IF(K791="NET15",Table1[[#This Row],[Posting Date]]+15,IF(K791="COD",Table1[[#This Row],[Posting Date]],"")))</f>
        <v>45736</v>
      </c>
      <c r="M791" s="4">
        <f>IFERROR(IF(Table1[[#This Row],[Type]]="IN",Table1[[#This Row],[RC Date]]-Table1[[#This Row],[Posting Date]],""),"")</f>
        <v>49</v>
      </c>
      <c r="N791">
        <f>IFERROR(IF(Table1[[#This Row],[Balance Due (LC)]]&lt;&gt;0,$S$1-L791,0),"")</f>
        <v>0</v>
      </c>
      <c r="O791">
        <f>IFERROR(IF(Table1[[#This Row],[Type]]="IN",Table1[[#This Row],[C/D (LC)]],IF(Table1[[#This Row],[Type]]="CN",Table1[[#This Row],[C/D (LC)]],"")),"")</f>
        <v>8225.4</v>
      </c>
      <c r="P791" t="str">
        <f>VLOOKUP(Table1[[#This Row],[Cust '#]],ClientInfo!$A:$B,2,0)</f>
        <v>Client_08</v>
      </c>
    </row>
    <row r="792" spans="1:16">
      <c r="A792" t="s">
        <v>114</v>
      </c>
      <c r="B792" t="s">
        <v>12</v>
      </c>
      <c r="C792">
        <v>140021082</v>
      </c>
      <c r="D792" s="1">
        <v>45713</v>
      </c>
      <c r="E792">
        <v>7106.6</v>
      </c>
      <c r="F792">
        <v>0</v>
      </c>
      <c r="G792">
        <v>700003176</v>
      </c>
      <c r="H792" s="1">
        <v>45755</v>
      </c>
      <c r="I792">
        <f>YEAR(Table1[[#This Row],[Posting Date]])</f>
        <v>2025</v>
      </c>
      <c r="J792">
        <f>MONTH(Table1[[#This Row],[Posting Date]])</f>
        <v>2</v>
      </c>
      <c r="K792" t="str">
        <f>IF(Table1[[#This Row],[Type]]="IN",VLOOKUP(Table1[[#This Row],[Cust '#]],ClientInfo!$A:$D,4,0),"")</f>
        <v>NET30</v>
      </c>
      <c r="L792" s="1">
        <f>IF(K792="NET30",Table1[[#This Row],[Posting Date]]+30,IF(K792="NET15",Table1[[#This Row],[Posting Date]]+15,IF(K792="COD",Table1[[#This Row],[Posting Date]],"")))</f>
        <v>45743</v>
      </c>
      <c r="M792" s="4">
        <f>IFERROR(IF(Table1[[#This Row],[Type]]="IN",Table1[[#This Row],[RC Date]]-Table1[[#This Row],[Posting Date]],""),"")</f>
        <v>42</v>
      </c>
      <c r="N792">
        <f>IFERROR(IF(Table1[[#This Row],[Balance Due (LC)]]&lt;&gt;0,$S$1-L792,0),"")</f>
        <v>0</v>
      </c>
      <c r="O792">
        <f>IFERROR(IF(Table1[[#This Row],[Type]]="IN",Table1[[#This Row],[C/D (LC)]],IF(Table1[[#This Row],[Type]]="CN",Table1[[#This Row],[C/D (LC)]],"")),"")</f>
        <v>7106.6</v>
      </c>
      <c r="P792" t="str">
        <f>VLOOKUP(Table1[[#This Row],[Cust '#]],ClientInfo!$A:$B,2,0)</f>
        <v>Client_08</v>
      </c>
    </row>
    <row r="793" spans="1:16">
      <c r="A793" t="s">
        <v>114</v>
      </c>
      <c r="B793" t="s">
        <v>13</v>
      </c>
      <c r="C793">
        <v>150000954</v>
      </c>
      <c r="D793" s="1">
        <v>45714</v>
      </c>
      <c r="E793">
        <v>-64</v>
      </c>
      <c r="F793">
        <v>0</v>
      </c>
      <c r="G793">
        <v>700003176</v>
      </c>
      <c r="H793" s="1">
        <v>45755</v>
      </c>
      <c r="I793">
        <f>YEAR(Table1[[#This Row],[Posting Date]])</f>
        <v>2025</v>
      </c>
      <c r="J793">
        <f>MONTH(Table1[[#This Row],[Posting Date]])</f>
        <v>2</v>
      </c>
      <c r="K793" t="str">
        <f>IF(Table1[[#This Row],[Type]]="IN",VLOOKUP(Table1[[#This Row],[Cust '#]],ClientInfo!$A:$D,4,0),"")</f>
        <v/>
      </c>
      <c r="L793" s="1" t="str">
        <f>IF(K793="NET30",Table1[[#This Row],[Posting Date]]+30,IF(K793="NET15",Table1[[#This Row],[Posting Date]]+15,IF(K793="COD",Table1[[#This Row],[Posting Date]],"")))</f>
        <v/>
      </c>
      <c r="M793" s="4" t="str">
        <f>IFERROR(IF(Table1[[#This Row],[Type]]="IN",Table1[[#This Row],[RC Date]]-Table1[[#This Row],[Posting Date]],""),"")</f>
        <v/>
      </c>
      <c r="N793">
        <f>IFERROR(IF(Table1[[#This Row],[Balance Due (LC)]]&lt;&gt;0,$S$1-L793,0),"")</f>
        <v>0</v>
      </c>
      <c r="O793">
        <f>IFERROR(IF(Table1[[#This Row],[Type]]="IN",Table1[[#This Row],[C/D (LC)]],IF(Table1[[#This Row],[Type]]="CN",Table1[[#This Row],[C/D (LC)]],"")),"")</f>
        <v>-64</v>
      </c>
      <c r="P793" t="str">
        <f>VLOOKUP(Table1[[#This Row],[Cust '#]],ClientInfo!$A:$B,2,0)</f>
        <v>Client_08</v>
      </c>
    </row>
    <row r="794" spans="1:16">
      <c r="A794" t="s">
        <v>114</v>
      </c>
      <c r="B794" t="s">
        <v>13</v>
      </c>
      <c r="C794">
        <v>150000957</v>
      </c>
      <c r="D794" s="1">
        <v>45714</v>
      </c>
      <c r="E794">
        <v>-399.5</v>
      </c>
      <c r="F794">
        <v>0</v>
      </c>
      <c r="G794">
        <v>700003176</v>
      </c>
      <c r="H794" s="1">
        <v>45755</v>
      </c>
      <c r="I794">
        <f>YEAR(Table1[[#This Row],[Posting Date]])</f>
        <v>2025</v>
      </c>
      <c r="J794">
        <f>MONTH(Table1[[#This Row],[Posting Date]])</f>
        <v>2</v>
      </c>
      <c r="K794" t="str">
        <f>IF(Table1[[#This Row],[Type]]="IN",VLOOKUP(Table1[[#This Row],[Cust '#]],ClientInfo!$A:$D,4,0),"")</f>
        <v/>
      </c>
      <c r="L794" s="1" t="str">
        <f>IF(K794="NET30",Table1[[#This Row],[Posting Date]]+30,IF(K794="NET15",Table1[[#This Row],[Posting Date]]+15,IF(K794="COD",Table1[[#This Row],[Posting Date]],"")))</f>
        <v/>
      </c>
      <c r="M794" s="4" t="str">
        <f>IFERROR(IF(Table1[[#This Row],[Type]]="IN",Table1[[#This Row],[RC Date]]-Table1[[#This Row],[Posting Date]],""),"")</f>
        <v/>
      </c>
      <c r="N794">
        <f>IFERROR(IF(Table1[[#This Row],[Balance Due (LC)]]&lt;&gt;0,$S$1-L794,0),"")</f>
        <v>0</v>
      </c>
      <c r="O794">
        <f>IFERROR(IF(Table1[[#This Row],[Type]]="IN",Table1[[#This Row],[C/D (LC)]],IF(Table1[[#This Row],[Type]]="CN",Table1[[#This Row],[C/D (LC)]],"")),"")</f>
        <v>-399.5</v>
      </c>
      <c r="P794" t="str">
        <f>VLOOKUP(Table1[[#This Row],[Cust '#]],ClientInfo!$A:$B,2,0)</f>
        <v>Client_08</v>
      </c>
    </row>
    <row r="795" spans="1:16">
      <c r="A795" t="s">
        <v>114</v>
      </c>
      <c r="B795" t="s">
        <v>12</v>
      </c>
      <c r="C795">
        <v>140021267</v>
      </c>
      <c r="D795" s="1">
        <v>45716</v>
      </c>
      <c r="E795">
        <v>196</v>
      </c>
      <c r="F795">
        <v>0</v>
      </c>
      <c r="G795">
        <v>700003176</v>
      </c>
      <c r="H795" s="1">
        <v>45755</v>
      </c>
      <c r="I795">
        <f>YEAR(Table1[[#This Row],[Posting Date]])</f>
        <v>2025</v>
      </c>
      <c r="J795">
        <f>MONTH(Table1[[#This Row],[Posting Date]])</f>
        <v>2</v>
      </c>
      <c r="K795" t="str">
        <f>IF(Table1[[#This Row],[Type]]="IN",VLOOKUP(Table1[[#This Row],[Cust '#]],ClientInfo!$A:$D,4,0),"")</f>
        <v>NET30</v>
      </c>
      <c r="L795" s="1">
        <f>IF(K795="NET30",Table1[[#This Row],[Posting Date]]+30,IF(K795="NET15",Table1[[#This Row],[Posting Date]]+15,IF(K795="COD",Table1[[#This Row],[Posting Date]],"")))</f>
        <v>45746</v>
      </c>
      <c r="M795" s="4">
        <f>IFERROR(IF(Table1[[#This Row],[Type]]="IN",Table1[[#This Row],[RC Date]]-Table1[[#This Row],[Posting Date]],""),"")</f>
        <v>39</v>
      </c>
      <c r="N795">
        <f>IFERROR(IF(Table1[[#This Row],[Balance Due (LC)]]&lt;&gt;0,$S$1-L795,0),"")</f>
        <v>0</v>
      </c>
      <c r="O795">
        <f>IFERROR(IF(Table1[[#This Row],[Type]]="IN",Table1[[#This Row],[C/D (LC)]],IF(Table1[[#This Row],[Type]]="CN",Table1[[#This Row],[C/D (LC)]],"")),"")</f>
        <v>196</v>
      </c>
      <c r="P795" t="str">
        <f>VLOOKUP(Table1[[#This Row],[Cust '#]],ClientInfo!$A:$B,2,0)</f>
        <v>Client_08</v>
      </c>
    </row>
    <row r="796" spans="1:16">
      <c r="A796" t="s">
        <v>114</v>
      </c>
      <c r="B796" t="s">
        <v>12</v>
      </c>
      <c r="C796">
        <v>140021395</v>
      </c>
      <c r="D796" s="1">
        <v>45720</v>
      </c>
      <c r="E796">
        <v>8542</v>
      </c>
      <c r="F796">
        <v>0</v>
      </c>
      <c r="G796">
        <v>700003424</v>
      </c>
      <c r="H796" s="1">
        <v>45786</v>
      </c>
      <c r="I796">
        <f>YEAR(Table1[[#This Row],[Posting Date]])</f>
        <v>2025</v>
      </c>
      <c r="J796">
        <f>MONTH(Table1[[#This Row],[Posting Date]])</f>
        <v>3</v>
      </c>
      <c r="K796" t="str">
        <f>IF(Table1[[#This Row],[Type]]="IN",VLOOKUP(Table1[[#This Row],[Cust '#]],ClientInfo!$A:$D,4,0),"")</f>
        <v>NET30</v>
      </c>
      <c r="L796" s="1">
        <f>IF(K796="NET30",Table1[[#This Row],[Posting Date]]+30,IF(K796="NET15",Table1[[#This Row],[Posting Date]]+15,IF(K796="COD",Table1[[#This Row],[Posting Date]],"")))</f>
        <v>45750</v>
      </c>
      <c r="M796" s="4">
        <f>IFERROR(IF(Table1[[#This Row],[Type]]="IN",Table1[[#This Row],[RC Date]]-Table1[[#This Row],[Posting Date]],""),"")</f>
        <v>66</v>
      </c>
      <c r="N796">
        <f>IFERROR(IF(Table1[[#This Row],[Balance Due (LC)]]&lt;&gt;0,$S$1-L796,0),"")</f>
        <v>0</v>
      </c>
      <c r="O796">
        <f>IFERROR(IF(Table1[[#This Row],[Type]]="IN",Table1[[#This Row],[C/D (LC)]],IF(Table1[[#This Row],[Type]]="CN",Table1[[#This Row],[C/D (LC)]],"")),"")</f>
        <v>8542</v>
      </c>
      <c r="P796" t="str">
        <f>VLOOKUP(Table1[[#This Row],[Cust '#]],ClientInfo!$A:$B,2,0)</f>
        <v>Client_08</v>
      </c>
    </row>
    <row r="797" spans="1:16">
      <c r="A797" t="s">
        <v>114</v>
      </c>
      <c r="B797" t="s">
        <v>10</v>
      </c>
      <c r="C797">
        <v>700002897</v>
      </c>
      <c r="D797" s="1">
        <v>45723</v>
      </c>
      <c r="E797">
        <v>-28803.65</v>
      </c>
      <c r="F797">
        <v>0</v>
      </c>
      <c r="G797">
        <v>700002897</v>
      </c>
      <c r="H797" s="1">
        <v>45723</v>
      </c>
      <c r="I797">
        <f>YEAR(Table1[[#This Row],[Posting Date]])</f>
        <v>2025</v>
      </c>
      <c r="J797">
        <f>MONTH(Table1[[#This Row],[Posting Date]])</f>
        <v>3</v>
      </c>
      <c r="K797" t="str">
        <f>IF(Table1[[#This Row],[Type]]="IN",VLOOKUP(Table1[[#This Row],[Cust '#]],ClientInfo!$A:$D,4,0),"")</f>
        <v/>
      </c>
      <c r="L797" s="1" t="str">
        <f>IF(K797="NET30",Table1[[#This Row],[Posting Date]]+30,IF(K797="NET15",Table1[[#This Row],[Posting Date]]+15,IF(K797="COD",Table1[[#This Row],[Posting Date]],"")))</f>
        <v/>
      </c>
      <c r="M797" s="4" t="str">
        <f>IFERROR(IF(Table1[[#This Row],[Type]]="IN",Table1[[#This Row],[RC Date]]-Table1[[#This Row],[Posting Date]],""),"")</f>
        <v/>
      </c>
      <c r="N797">
        <f>IFERROR(IF(Table1[[#This Row],[Balance Due (LC)]]&lt;&gt;0,$S$1-L797,0),"")</f>
        <v>0</v>
      </c>
      <c r="O797" t="str">
        <f>IFERROR(IF(Table1[[#This Row],[Type]]="IN",Table1[[#This Row],[C/D (LC)]],IF(Table1[[#This Row],[Type]]="CN",Table1[[#This Row],[C/D (LC)]],"")),"")</f>
        <v/>
      </c>
      <c r="P797" t="str">
        <f>VLOOKUP(Table1[[#This Row],[Cust '#]],ClientInfo!$A:$B,2,0)</f>
        <v>Client_08</v>
      </c>
    </row>
    <row r="798" spans="1:16">
      <c r="A798" t="s">
        <v>114</v>
      </c>
      <c r="B798" t="s">
        <v>12</v>
      </c>
      <c r="C798">
        <v>140021685</v>
      </c>
      <c r="D798" s="1">
        <v>45727</v>
      </c>
      <c r="E798">
        <v>5750.8</v>
      </c>
      <c r="F798">
        <v>0</v>
      </c>
      <c r="G798">
        <v>700003424</v>
      </c>
      <c r="H798" s="1">
        <v>45786</v>
      </c>
      <c r="I798">
        <f>YEAR(Table1[[#This Row],[Posting Date]])</f>
        <v>2025</v>
      </c>
      <c r="J798">
        <f>MONTH(Table1[[#This Row],[Posting Date]])</f>
        <v>3</v>
      </c>
      <c r="K798" t="str">
        <f>IF(Table1[[#This Row],[Type]]="IN",VLOOKUP(Table1[[#This Row],[Cust '#]],ClientInfo!$A:$D,4,0),"")</f>
        <v>NET30</v>
      </c>
      <c r="L798" s="1">
        <f>IF(K798="NET30",Table1[[#This Row],[Posting Date]]+30,IF(K798="NET15",Table1[[#This Row],[Posting Date]]+15,IF(K798="COD",Table1[[#This Row],[Posting Date]],"")))</f>
        <v>45757</v>
      </c>
      <c r="M798" s="4">
        <f>IFERROR(IF(Table1[[#This Row],[Type]]="IN",Table1[[#This Row],[RC Date]]-Table1[[#This Row],[Posting Date]],""),"")</f>
        <v>59</v>
      </c>
      <c r="N798">
        <f>IFERROR(IF(Table1[[#This Row],[Balance Due (LC)]]&lt;&gt;0,$S$1-L798,0),"")</f>
        <v>0</v>
      </c>
      <c r="O798">
        <f>IFERROR(IF(Table1[[#This Row],[Type]]="IN",Table1[[#This Row],[C/D (LC)]],IF(Table1[[#This Row],[Type]]="CN",Table1[[#This Row],[C/D (LC)]],"")),"")</f>
        <v>5750.8</v>
      </c>
      <c r="P798" t="str">
        <f>VLOOKUP(Table1[[#This Row],[Cust '#]],ClientInfo!$A:$B,2,0)</f>
        <v>Client_08</v>
      </c>
    </row>
    <row r="799" spans="1:16">
      <c r="A799" t="s">
        <v>114</v>
      </c>
      <c r="B799" t="s">
        <v>12</v>
      </c>
      <c r="C799">
        <v>140021841</v>
      </c>
      <c r="D799" s="1">
        <v>45729</v>
      </c>
      <c r="E799">
        <v>375</v>
      </c>
      <c r="F799">
        <v>0</v>
      </c>
      <c r="G799">
        <v>700003424</v>
      </c>
      <c r="H799" s="1">
        <v>45786</v>
      </c>
      <c r="I799">
        <f>YEAR(Table1[[#This Row],[Posting Date]])</f>
        <v>2025</v>
      </c>
      <c r="J799">
        <f>MONTH(Table1[[#This Row],[Posting Date]])</f>
        <v>3</v>
      </c>
      <c r="K799" t="str">
        <f>IF(Table1[[#This Row],[Type]]="IN",VLOOKUP(Table1[[#This Row],[Cust '#]],ClientInfo!$A:$D,4,0),"")</f>
        <v>NET30</v>
      </c>
      <c r="L799" s="1">
        <f>IF(K799="NET30",Table1[[#This Row],[Posting Date]]+30,IF(K799="NET15",Table1[[#This Row],[Posting Date]]+15,IF(K799="COD",Table1[[#This Row],[Posting Date]],"")))</f>
        <v>45759</v>
      </c>
      <c r="M799" s="4">
        <f>IFERROR(IF(Table1[[#This Row],[Type]]="IN",Table1[[#This Row],[RC Date]]-Table1[[#This Row],[Posting Date]],""),"")</f>
        <v>57</v>
      </c>
      <c r="N799">
        <f>IFERROR(IF(Table1[[#This Row],[Balance Due (LC)]]&lt;&gt;0,$S$1-L799,0),"")</f>
        <v>0</v>
      </c>
      <c r="O799">
        <f>IFERROR(IF(Table1[[#This Row],[Type]]="IN",Table1[[#This Row],[C/D (LC)]],IF(Table1[[#This Row],[Type]]="CN",Table1[[#This Row],[C/D (LC)]],"")),"")</f>
        <v>375</v>
      </c>
      <c r="P799" t="str">
        <f>VLOOKUP(Table1[[#This Row],[Cust '#]],ClientInfo!$A:$B,2,0)</f>
        <v>Client_08</v>
      </c>
    </row>
    <row r="800" spans="1:16">
      <c r="A800" t="s">
        <v>114</v>
      </c>
      <c r="B800" t="s">
        <v>12</v>
      </c>
      <c r="C800">
        <v>140022004</v>
      </c>
      <c r="D800" s="1">
        <v>45734</v>
      </c>
      <c r="E800">
        <v>6545</v>
      </c>
      <c r="F800">
        <v>0</v>
      </c>
      <c r="G800">
        <v>700003424</v>
      </c>
      <c r="H800" s="1">
        <v>45786</v>
      </c>
      <c r="I800">
        <f>YEAR(Table1[[#This Row],[Posting Date]])</f>
        <v>2025</v>
      </c>
      <c r="J800">
        <f>MONTH(Table1[[#This Row],[Posting Date]])</f>
        <v>3</v>
      </c>
      <c r="K800" t="str">
        <f>IF(Table1[[#This Row],[Type]]="IN",VLOOKUP(Table1[[#This Row],[Cust '#]],ClientInfo!$A:$D,4,0),"")</f>
        <v>NET30</v>
      </c>
      <c r="L800" s="1">
        <f>IF(K800="NET30",Table1[[#This Row],[Posting Date]]+30,IF(K800="NET15",Table1[[#This Row],[Posting Date]]+15,IF(K800="COD",Table1[[#This Row],[Posting Date]],"")))</f>
        <v>45764</v>
      </c>
      <c r="M800" s="4">
        <f>IFERROR(IF(Table1[[#This Row],[Type]]="IN",Table1[[#This Row],[RC Date]]-Table1[[#This Row],[Posting Date]],""),"")</f>
        <v>52</v>
      </c>
      <c r="N800">
        <f>IFERROR(IF(Table1[[#This Row],[Balance Due (LC)]]&lt;&gt;0,$S$1-L800,0),"")</f>
        <v>0</v>
      </c>
      <c r="O800">
        <f>IFERROR(IF(Table1[[#This Row],[Type]]="IN",Table1[[#This Row],[C/D (LC)]],IF(Table1[[#This Row],[Type]]="CN",Table1[[#This Row],[C/D (LC)]],"")),"")</f>
        <v>6545</v>
      </c>
      <c r="P800" t="str">
        <f>VLOOKUP(Table1[[#This Row],[Cust '#]],ClientInfo!$A:$B,2,0)</f>
        <v>Client_08</v>
      </c>
    </row>
    <row r="801" spans="1:16">
      <c r="A801" t="s">
        <v>114</v>
      </c>
      <c r="B801" t="s">
        <v>12</v>
      </c>
      <c r="C801">
        <v>140022300</v>
      </c>
      <c r="D801" s="1">
        <v>45741</v>
      </c>
      <c r="E801">
        <v>5479.6</v>
      </c>
      <c r="F801">
        <v>0</v>
      </c>
      <c r="G801">
        <v>700003424</v>
      </c>
      <c r="H801" s="1">
        <v>45786</v>
      </c>
      <c r="I801">
        <f>YEAR(Table1[[#This Row],[Posting Date]])</f>
        <v>2025</v>
      </c>
      <c r="J801">
        <f>MONTH(Table1[[#This Row],[Posting Date]])</f>
        <v>3</v>
      </c>
      <c r="K801" t="str">
        <f>IF(Table1[[#This Row],[Type]]="IN",VLOOKUP(Table1[[#This Row],[Cust '#]],ClientInfo!$A:$D,4,0),"")</f>
        <v>NET30</v>
      </c>
      <c r="L801" s="1">
        <f>IF(K801="NET30",Table1[[#This Row],[Posting Date]]+30,IF(K801="NET15",Table1[[#This Row],[Posting Date]]+15,IF(K801="COD",Table1[[#This Row],[Posting Date]],"")))</f>
        <v>45771</v>
      </c>
      <c r="M801" s="4">
        <f>IFERROR(IF(Table1[[#This Row],[Type]]="IN",Table1[[#This Row],[RC Date]]-Table1[[#This Row],[Posting Date]],""),"")</f>
        <v>45</v>
      </c>
      <c r="N801">
        <f>IFERROR(IF(Table1[[#This Row],[Balance Due (LC)]]&lt;&gt;0,$S$1-L801,0),"")</f>
        <v>0</v>
      </c>
      <c r="O801">
        <f>IFERROR(IF(Table1[[#This Row],[Type]]="IN",Table1[[#This Row],[C/D (LC)]],IF(Table1[[#This Row],[Type]]="CN",Table1[[#This Row],[C/D (LC)]],"")),"")</f>
        <v>5479.6</v>
      </c>
      <c r="P801" t="str">
        <f>VLOOKUP(Table1[[#This Row],[Cust '#]],ClientInfo!$A:$B,2,0)</f>
        <v>Client_08</v>
      </c>
    </row>
    <row r="802" spans="1:16">
      <c r="A802" t="s">
        <v>114</v>
      </c>
      <c r="B802" t="s">
        <v>12</v>
      </c>
      <c r="C802">
        <v>140022537</v>
      </c>
      <c r="D802" s="1">
        <v>45744</v>
      </c>
      <c r="E802">
        <v>294</v>
      </c>
      <c r="F802">
        <v>0</v>
      </c>
      <c r="G802">
        <v>700003424</v>
      </c>
      <c r="H802" s="1">
        <v>45786</v>
      </c>
      <c r="I802">
        <f>YEAR(Table1[[#This Row],[Posting Date]])</f>
        <v>2025</v>
      </c>
      <c r="J802">
        <f>MONTH(Table1[[#This Row],[Posting Date]])</f>
        <v>3</v>
      </c>
      <c r="K802" t="str">
        <f>IF(Table1[[#This Row],[Type]]="IN",VLOOKUP(Table1[[#This Row],[Cust '#]],ClientInfo!$A:$D,4,0),"")</f>
        <v>NET30</v>
      </c>
      <c r="L802" s="1">
        <f>IF(K802="NET30",Table1[[#This Row],[Posting Date]]+30,IF(K802="NET15",Table1[[#This Row],[Posting Date]]+15,IF(K802="COD",Table1[[#This Row],[Posting Date]],"")))</f>
        <v>45774</v>
      </c>
      <c r="M802" s="4">
        <f>IFERROR(IF(Table1[[#This Row],[Type]]="IN",Table1[[#This Row],[RC Date]]-Table1[[#This Row],[Posting Date]],""),"")</f>
        <v>42</v>
      </c>
      <c r="N802">
        <f>IFERROR(IF(Table1[[#This Row],[Balance Due (LC)]]&lt;&gt;0,$S$1-L802,0),"")</f>
        <v>0</v>
      </c>
      <c r="O802">
        <f>IFERROR(IF(Table1[[#This Row],[Type]]="IN",Table1[[#This Row],[C/D (LC)]],IF(Table1[[#This Row],[Type]]="CN",Table1[[#This Row],[C/D (LC)]],"")),"")</f>
        <v>294</v>
      </c>
      <c r="P802" t="str">
        <f>VLOOKUP(Table1[[#This Row],[Cust '#]],ClientInfo!$A:$B,2,0)</f>
        <v>Client_08</v>
      </c>
    </row>
    <row r="803" spans="1:16">
      <c r="A803" t="s">
        <v>114</v>
      </c>
      <c r="B803" t="s">
        <v>12</v>
      </c>
      <c r="C803">
        <v>140022539</v>
      </c>
      <c r="D803" s="1">
        <v>45744</v>
      </c>
      <c r="E803">
        <v>62.5</v>
      </c>
      <c r="F803">
        <v>0</v>
      </c>
      <c r="G803">
        <v>700003424</v>
      </c>
      <c r="H803" s="1">
        <v>45786</v>
      </c>
      <c r="I803">
        <f>YEAR(Table1[[#This Row],[Posting Date]])</f>
        <v>2025</v>
      </c>
      <c r="J803">
        <f>MONTH(Table1[[#This Row],[Posting Date]])</f>
        <v>3</v>
      </c>
      <c r="K803" t="str">
        <f>IF(Table1[[#This Row],[Type]]="IN",VLOOKUP(Table1[[#This Row],[Cust '#]],ClientInfo!$A:$D,4,0),"")</f>
        <v>NET30</v>
      </c>
      <c r="L803" s="1">
        <f>IF(K803="NET30",Table1[[#This Row],[Posting Date]]+30,IF(K803="NET15",Table1[[#This Row],[Posting Date]]+15,IF(K803="COD",Table1[[#This Row],[Posting Date]],"")))</f>
        <v>45774</v>
      </c>
      <c r="M803" s="4">
        <f>IFERROR(IF(Table1[[#This Row],[Type]]="IN",Table1[[#This Row],[RC Date]]-Table1[[#This Row],[Posting Date]],""),"")</f>
        <v>42</v>
      </c>
      <c r="N803">
        <f>IFERROR(IF(Table1[[#This Row],[Balance Due (LC)]]&lt;&gt;0,$S$1-L803,0),"")</f>
        <v>0</v>
      </c>
      <c r="O803">
        <f>IFERROR(IF(Table1[[#This Row],[Type]]="IN",Table1[[#This Row],[C/D (LC)]],IF(Table1[[#This Row],[Type]]="CN",Table1[[#This Row],[C/D (LC)]],"")),"")</f>
        <v>62.5</v>
      </c>
      <c r="P803" t="str">
        <f>VLOOKUP(Table1[[#This Row],[Cust '#]],ClientInfo!$A:$B,2,0)</f>
        <v>Client_08</v>
      </c>
    </row>
    <row r="804" spans="1:16">
      <c r="A804" t="s">
        <v>114</v>
      </c>
      <c r="B804" t="s">
        <v>12</v>
      </c>
      <c r="C804">
        <v>140022604</v>
      </c>
      <c r="D804" s="1">
        <v>45747</v>
      </c>
      <c r="E804">
        <v>7701.8</v>
      </c>
      <c r="F804">
        <v>0</v>
      </c>
      <c r="G804">
        <v>700003424</v>
      </c>
      <c r="H804" s="1">
        <v>45786</v>
      </c>
      <c r="I804">
        <f>YEAR(Table1[[#This Row],[Posting Date]])</f>
        <v>2025</v>
      </c>
      <c r="J804">
        <f>MONTH(Table1[[#This Row],[Posting Date]])</f>
        <v>3</v>
      </c>
      <c r="K804" t="str">
        <f>IF(Table1[[#This Row],[Type]]="IN",VLOOKUP(Table1[[#This Row],[Cust '#]],ClientInfo!$A:$D,4,0),"")</f>
        <v>NET30</v>
      </c>
      <c r="L804" s="1">
        <f>IF(K804="NET30",Table1[[#This Row],[Posting Date]]+30,IF(K804="NET15",Table1[[#This Row],[Posting Date]]+15,IF(K804="COD",Table1[[#This Row],[Posting Date]],"")))</f>
        <v>45777</v>
      </c>
      <c r="M804" s="4">
        <f>IFERROR(IF(Table1[[#This Row],[Type]]="IN",Table1[[#This Row],[RC Date]]-Table1[[#This Row],[Posting Date]],""),"")</f>
        <v>39</v>
      </c>
      <c r="N804">
        <f>IFERROR(IF(Table1[[#This Row],[Balance Due (LC)]]&lt;&gt;0,$S$1-L804,0),"")</f>
        <v>0</v>
      </c>
      <c r="O804">
        <f>IFERROR(IF(Table1[[#This Row],[Type]]="IN",Table1[[#This Row],[C/D (LC)]],IF(Table1[[#This Row],[Type]]="CN",Table1[[#This Row],[C/D (LC)]],"")),"")</f>
        <v>7701.8</v>
      </c>
      <c r="P804" t="str">
        <f>VLOOKUP(Table1[[#This Row],[Cust '#]],ClientInfo!$A:$B,2,0)</f>
        <v>Client_08</v>
      </c>
    </row>
    <row r="805" spans="1:16">
      <c r="A805" t="s">
        <v>114</v>
      </c>
      <c r="B805" t="s">
        <v>13</v>
      </c>
      <c r="C805">
        <v>150001047</v>
      </c>
      <c r="D805" s="1">
        <v>45749</v>
      </c>
      <c r="E805">
        <v>-24.99</v>
      </c>
      <c r="F805">
        <v>0</v>
      </c>
      <c r="G805">
        <v>700003424</v>
      </c>
      <c r="H805" s="1">
        <v>45786</v>
      </c>
      <c r="I805">
        <f>YEAR(Table1[[#This Row],[Posting Date]])</f>
        <v>2025</v>
      </c>
      <c r="J805">
        <f>MONTH(Table1[[#This Row],[Posting Date]])</f>
        <v>4</v>
      </c>
      <c r="K805" t="str">
        <f>IF(Table1[[#This Row],[Type]]="IN",VLOOKUP(Table1[[#This Row],[Cust '#]],ClientInfo!$A:$D,4,0),"")</f>
        <v/>
      </c>
      <c r="L805" s="1" t="str">
        <f>IF(K805="NET30",Table1[[#This Row],[Posting Date]]+30,IF(K805="NET15",Table1[[#This Row],[Posting Date]]+15,IF(K805="COD",Table1[[#This Row],[Posting Date]],"")))</f>
        <v/>
      </c>
      <c r="M805" s="4" t="str">
        <f>IFERROR(IF(Table1[[#This Row],[Type]]="IN",Table1[[#This Row],[RC Date]]-Table1[[#This Row],[Posting Date]],""),"")</f>
        <v/>
      </c>
      <c r="N805">
        <f>IFERROR(IF(Table1[[#This Row],[Balance Due (LC)]]&lt;&gt;0,$S$1-L805,0),"")</f>
        <v>0</v>
      </c>
      <c r="O805">
        <f>IFERROR(IF(Table1[[#This Row],[Type]]="IN",Table1[[#This Row],[C/D (LC)]],IF(Table1[[#This Row],[Type]]="CN",Table1[[#This Row],[C/D (LC)]],"")),"")</f>
        <v>-24.99</v>
      </c>
      <c r="P805" t="str">
        <f>VLOOKUP(Table1[[#This Row],[Cust '#]],ClientInfo!$A:$B,2,0)</f>
        <v>Client_08</v>
      </c>
    </row>
    <row r="806" spans="1:16">
      <c r="A806" t="s">
        <v>114</v>
      </c>
      <c r="B806" t="s">
        <v>12</v>
      </c>
      <c r="C806">
        <v>140022934</v>
      </c>
      <c r="D806" s="1">
        <v>45755</v>
      </c>
      <c r="E806">
        <v>8574.2000000000007</v>
      </c>
      <c r="F806">
        <v>0</v>
      </c>
      <c r="G806">
        <v>700003699</v>
      </c>
      <c r="H806" s="1">
        <v>45820</v>
      </c>
      <c r="I806">
        <f>YEAR(Table1[[#This Row],[Posting Date]])</f>
        <v>2025</v>
      </c>
      <c r="J806">
        <f>MONTH(Table1[[#This Row],[Posting Date]])</f>
        <v>4</v>
      </c>
      <c r="K806" t="str">
        <f>IF(Table1[[#This Row],[Type]]="IN",VLOOKUP(Table1[[#This Row],[Cust '#]],ClientInfo!$A:$D,4,0),"")</f>
        <v>NET30</v>
      </c>
      <c r="L806" s="1">
        <f>IF(K806="NET30",Table1[[#This Row],[Posting Date]]+30,IF(K806="NET15",Table1[[#This Row],[Posting Date]]+15,IF(K806="COD",Table1[[#This Row],[Posting Date]],"")))</f>
        <v>45785</v>
      </c>
      <c r="M806" s="4">
        <f>IFERROR(IF(Table1[[#This Row],[Type]]="IN",Table1[[#This Row],[RC Date]]-Table1[[#This Row],[Posting Date]],""),"")</f>
        <v>65</v>
      </c>
      <c r="N806">
        <f>IFERROR(IF(Table1[[#This Row],[Balance Due (LC)]]&lt;&gt;0,$S$1-L806,0),"")</f>
        <v>0</v>
      </c>
      <c r="O806">
        <f>IFERROR(IF(Table1[[#This Row],[Type]]="IN",Table1[[#This Row],[C/D (LC)]],IF(Table1[[#This Row],[Type]]="CN",Table1[[#This Row],[C/D (LC)]],"")),"")</f>
        <v>8574.2000000000007</v>
      </c>
      <c r="P806" t="str">
        <f>VLOOKUP(Table1[[#This Row],[Cust '#]],ClientInfo!$A:$B,2,0)</f>
        <v>Client_08</v>
      </c>
    </row>
    <row r="807" spans="1:16">
      <c r="A807" t="s">
        <v>114</v>
      </c>
      <c r="B807" t="s">
        <v>10</v>
      </c>
      <c r="C807">
        <v>700003176</v>
      </c>
      <c r="D807" s="1">
        <v>45755</v>
      </c>
      <c r="E807">
        <v>-26245.5</v>
      </c>
      <c r="F807">
        <v>0</v>
      </c>
      <c r="G807">
        <v>700003176</v>
      </c>
      <c r="H807" s="1">
        <v>45755</v>
      </c>
      <c r="I807">
        <f>YEAR(Table1[[#This Row],[Posting Date]])</f>
        <v>2025</v>
      </c>
      <c r="J807">
        <f>MONTH(Table1[[#This Row],[Posting Date]])</f>
        <v>4</v>
      </c>
      <c r="K807" t="str">
        <f>IF(Table1[[#This Row],[Type]]="IN",VLOOKUP(Table1[[#This Row],[Cust '#]],ClientInfo!$A:$D,4,0),"")</f>
        <v/>
      </c>
      <c r="L807" s="1" t="str">
        <f>IF(K807="NET30",Table1[[#This Row],[Posting Date]]+30,IF(K807="NET15",Table1[[#This Row],[Posting Date]]+15,IF(K807="COD",Table1[[#This Row],[Posting Date]],"")))</f>
        <v/>
      </c>
      <c r="M807" s="4" t="str">
        <f>IFERROR(IF(Table1[[#This Row],[Type]]="IN",Table1[[#This Row],[RC Date]]-Table1[[#This Row],[Posting Date]],""),"")</f>
        <v/>
      </c>
      <c r="N807">
        <f>IFERROR(IF(Table1[[#This Row],[Balance Due (LC)]]&lt;&gt;0,$S$1-L807,0),"")</f>
        <v>0</v>
      </c>
      <c r="O807" t="str">
        <f>IFERROR(IF(Table1[[#This Row],[Type]]="IN",Table1[[#This Row],[C/D (LC)]],IF(Table1[[#This Row],[Type]]="CN",Table1[[#This Row],[C/D (LC)]],"")),"")</f>
        <v/>
      </c>
      <c r="P807" t="str">
        <f>VLOOKUP(Table1[[#This Row],[Cust '#]],ClientInfo!$A:$B,2,0)</f>
        <v>Client_08</v>
      </c>
    </row>
    <row r="808" spans="1:16">
      <c r="A808" t="s">
        <v>114</v>
      </c>
      <c r="B808" t="s">
        <v>13</v>
      </c>
      <c r="C808">
        <v>150001062</v>
      </c>
      <c r="D808" s="1">
        <v>45759</v>
      </c>
      <c r="E808">
        <v>-133</v>
      </c>
      <c r="F808">
        <v>0</v>
      </c>
      <c r="G808">
        <v>700003424</v>
      </c>
      <c r="H808" s="1">
        <v>45786</v>
      </c>
      <c r="I808">
        <f>YEAR(Table1[[#This Row],[Posting Date]])</f>
        <v>2025</v>
      </c>
      <c r="J808">
        <f>MONTH(Table1[[#This Row],[Posting Date]])</f>
        <v>4</v>
      </c>
      <c r="K808" t="str">
        <f>IF(Table1[[#This Row],[Type]]="IN",VLOOKUP(Table1[[#This Row],[Cust '#]],ClientInfo!$A:$D,4,0),"")</f>
        <v/>
      </c>
      <c r="L808" s="1" t="str">
        <f>IF(K808="NET30",Table1[[#This Row],[Posting Date]]+30,IF(K808="NET15",Table1[[#This Row],[Posting Date]]+15,IF(K808="COD",Table1[[#This Row],[Posting Date]],"")))</f>
        <v/>
      </c>
      <c r="M808" s="4" t="str">
        <f>IFERROR(IF(Table1[[#This Row],[Type]]="IN",Table1[[#This Row],[RC Date]]-Table1[[#This Row],[Posting Date]],""),"")</f>
        <v/>
      </c>
      <c r="N808">
        <f>IFERROR(IF(Table1[[#This Row],[Balance Due (LC)]]&lt;&gt;0,$S$1-L808,0),"")</f>
        <v>0</v>
      </c>
      <c r="O808">
        <f>IFERROR(IF(Table1[[#This Row],[Type]]="IN",Table1[[#This Row],[C/D (LC)]],IF(Table1[[#This Row],[Type]]="CN",Table1[[#This Row],[C/D (LC)]],"")),"")</f>
        <v>-133</v>
      </c>
      <c r="P808" t="str">
        <f>VLOOKUP(Table1[[#This Row],[Cust '#]],ClientInfo!$A:$B,2,0)</f>
        <v>Client_08</v>
      </c>
    </row>
    <row r="809" spans="1:16">
      <c r="A809" t="s">
        <v>114</v>
      </c>
      <c r="B809" t="s">
        <v>12</v>
      </c>
      <c r="C809">
        <v>140023220</v>
      </c>
      <c r="D809" s="1">
        <v>45762</v>
      </c>
      <c r="E809">
        <v>4568.2</v>
      </c>
      <c r="F809">
        <v>0</v>
      </c>
      <c r="G809">
        <v>700003699</v>
      </c>
      <c r="H809" s="1">
        <v>45820</v>
      </c>
      <c r="I809">
        <f>YEAR(Table1[[#This Row],[Posting Date]])</f>
        <v>2025</v>
      </c>
      <c r="J809">
        <f>MONTH(Table1[[#This Row],[Posting Date]])</f>
        <v>4</v>
      </c>
      <c r="K809" t="str">
        <f>IF(Table1[[#This Row],[Type]]="IN",VLOOKUP(Table1[[#This Row],[Cust '#]],ClientInfo!$A:$D,4,0),"")</f>
        <v>NET30</v>
      </c>
      <c r="L809" s="1">
        <f>IF(K809="NET30",Table1[[#This Row],[Posting Date]]+30,IF(K809="NET15",Table1[[#This Row],[Posting Date]]+15,IF(K809="COD",Table1[[#This Row],[Posting Date]],"")))</f>
        <v>45792</v>
      </c>
      <c r="M809" s="4">
        <f>IFERROR(IF(Table1[[#This Row],[Type]]="IN",Table1[[#This Row],[RC Date]]-Table1[[#This Row],[Posting Date]],""),"")</f>
        <v>58</v>
      </c>
      <c r="N809">
        <f>IFERROR(IF(Table1[[#This Row],[Balance Due (LC)]]&lt;&gt;0,$S$1-L809,0),"")</f>
        <v>0</v>
      </c>
      <c r="O809">
        <f>IFERROR(IF(Table1[[#This Row],[Type]]="IN",Table1[[#This Row],[C/D (LC)]],IF(Table1[[#This Row],[Type]]="CN",Table1[[#This Row],[C/D (LC)]],"")),"")</f>
        <v>4568.2</v>
      </c>
      <c r="P809" t="str">
        <f>VLOOKUP(Table1[[#This Row],[Cust '#]],ClientInfo!$A:$B,2,0)</f>
        <v>Client_08</v>
      </c>
    </row>
    <row r="810" spans="1:16">
      <c r="A810" t="s">
        <v>114</v>
      </c>
      <c r="B810" t="s">
        <v>12</v>
      </c>
      <c r="C810">
        <v>140023323</v>
      </c>
      <c r="D810" s="1">
        <v>45763</v>
      </c>
      <c r="E810">
        <v>209</v>
      </c>
      <c r="F810">
        <v>0</v>
      </c>
      <c r="G810">
        <v>700003699</v>
      </c>
      <c r="H810" s="1">
        <v>45820</v>
      </c>
      <c r="I810">
        <f>YEAR(Table1[[#This Row],[Posting Date]])</f>
        <v>2025</v>
      </c>
      <c r="J810">
        <f>MONTH(Table1[[#This Row],[Posting Date]])</f>
        <v>4</v>
      </c>
      <c r="K810" t="str">
        <f>IF(Table1[[#This Row],[Type]]="IN",VLOOKUP(Table1[[#This Row],[Cust '#]],ClientInfo!$A:$D,4,0),"")</f>
        <v>NET30</v>
      </c>
      <c r="L810" s="1">
        <f>IF(K810="NET30",Table1[[#This Row],[Posting Date]]+30,IF(K810="NET15",Table1[[#This Row],[Posting Date]]+15,IF(K810="COD",Table1[[#This Row],[Posting Date]],"")))</f>
        <v>45793</v>
      </c>
      <c r="M810" s="4">
        <f>IFERROR(IF(Table1[[#This Row],[Type]]="IN",Table1[[#This Row],[RC Date]]-Table1[[#This Row],[Posting Date]],""),"")</f>
        <v>57</v>
      </c>
      <c r="N810">
        <f>IFERROR(IF(Table1[[#This Row],[Balance Due (LC)]]&lt;&gt;0,$S$1-L810,0),"")</f>
        <v>0</v>
      </c>
      <c r="O810">
        <f>IFERROR(IF(Table1[[#This Row],[Type]]="IN",Table1[[#This Row],[C/D (LC)]],IF(Table1[[#This Row],[Type]]="CN",Table1[[#This Row],[C/D (LC)]],"")),"")</f>
        <v>209</v>
      </c>
      <c r="P810" t="str">
        <f>VLOOKUP(Table1[[#This Row],[Cust '#]],ClientInfo!$A:$B,2,0)</f>
        <v>Client_08</v>
      </c>
    </row>
    <row r="811" spans="1:16">
      <c r="A811" t="s">
        <v>114</v>
      </c>
      <c r="B811" t="s">
        <v>10</v>
      </c>
      <c r="C811">
        <v>700003275</v>
      </c>
      <c r="D811" s="1">
        <v>45765</v>
      </c>
      <c r="E811">
        <v>-9304.2000000000007</v>
      </c>
      <c r="F811">
        <v>0</v>
      </c>
      <c r="G811">
        <v>700003275</v>
      </c>
      <c r="H811" s="1">
        <v>45765</v>
      </c>
      <c r="I811">
        <f>YEAR(Table1[[#This Row],[Posting Date]])</f>
        <v>2025</v>
      </c>
      <c r="J811">
        <f>MONTH(Table1[[#This Row],[Posting Date]])</f>
        <v>4</v>
      </c>
      <c r="K811" t="str">
        <f>IF(Table1[[#This Row],[Type]]="IN",VLOOKUP(Table1[[#This Row],[Cust '#]],ClientInfo!$A:$D,4,0),"")</f>
        <v/>
      </c>
      <c r="L811" s="1" t="str">
        <f>IF(K811="NET30",Table1[[#This Row],[Posting Date]]+30,IF(K811="NET15",Table1[[#This Row],[Posting Date]]+15,IF(K811="COD",Table1[[#This Row],[Posting Date]],"")))</f>
        <v/>
      </c>
      <c r="M811" s="4" t="str">
        <f>IFERROR(IF(Table1[[#This Row],[Type]]="IN",Table1[[#This Row],[RC Date]]-Table1[[#This Row],[Posting Date]],""),"")</f>
        <v/>
      </c>
      <c r="N811">
        <f>IFERROR(IF(Table1[[#This Row],[Balance Due (LC)]]&lt;&gt;0,$S$1-L811,0),"")</f>
        <v>0</v>
      </c>
      <c r="O811" t="str">
        <f>IFERROR(IF(Table1[[#This Row],[Type]]="IN",Table1[[#This Row],[C/D (LC)]],IF(Table1[[#This Row],[Type]]="CN",Table1[[#This Row],[C/D (LC)]],"")),"")</f>
        <v/>
      </c>
      <c r="P811" t="str">
        <f>VLOOKUP(Table1[[#This Row],[Cust '#]],ClientInfo!$A:$B,2,0)</f>
        <v>Client_08</v>
      </c>
    </row>
    <row r="812" spans="1:16">
      <c r="A812" t="s">
        <v>114</v>
      </c>
      <c r="B812" t="s">
        <v>12</v>
      </c>
      <c r="C812">
        <v>140023539</v>
      </c>
      <c r="D812" s="1">
        <v>45769</v>
      </c>
      <c r="E812">
        <v>7936.7</v>
      </c>
      <c r="F812">
        <v>0</v>
      </c>
      <c r="G812">
        <v>700003699</v>
      </c>
      <c r="H812" s="1">
        <v>45820</v>
      </c>
      <c r="I812">
        <f>YEAR(Table1[[#This Row],[Posting Date]])</f>
        <v>2025</v>
      </c>
      <c r="J812">
        <f>MONTH(Table1[[#This Row],[Posting Date]])</f>
        <v>4</v>
      </c>
      <c r="K812" t="str">
        <f>IF(Table1[[#This Row],[Type]]="IN",VLOOKUP(Table1[[#This Row],[Cust '#]],ClientInfo!$A:$D,4,0),"")</f>
        <v>NET30</v>
      </c>
      <c r="L812" s="1">
        <f>IF(K812="NET30",Table1[[#This Row],[Posting Date]]+30,IF(K812="NET15",Table1[[#This Row],[Posting Date]]+15,IF(K812="COD",Table1[[#This Row],[Posting Date]],"")))</f>
        <v>45799</v>
      </c>
      <c r="M812" s="4">
        <f>IFERROR(IF(Table1[[#This Row],[Type]]="IN",Table1[[#This Row],[RC Date]]-Table1[[#This Row],[Posting Date]],""),"")</f>
        <v>51</v>
      </c>
      <c r="N812">
        <f>IFERROR(IF(Table1[[#This Row],[Balance Due (LC)]]&lt;&gt;0,$S$1-L812,0),"")</f>
        <v>0</v>
      </c>
      <c r="O812">
        <f>IFERROR(IF(Table1[[#This Row],[Type]]="IN",Table1[[#This Row],[C/D (LC)]],IF(Table1[[#This Row],[Type]]="CN",Table1[[#This Row],[C/D (LC)]],"")),"")</f>
        <v>7936.7</v>
      </c>
      <c r="P812" t="str">
        <f>VLOOKUP(Table1[[#This Row],[Cust '#]],ClientInfo!$A:$B,2,0)</f>
        <v>Client_08</v>
      </c>
    </row>
    <row r="813" spans="1:16">
      <c r="A813" t="s">
        <v>114</v>
      </c>
      <c r="B813" t="s">
        <v>13</v>
      </c>
      <c r="C813">
        <v>150001092</v>
      </c>
      <c r="D813" s="1">
        <v>45773</v>
      </c>
      <c r="E813">
        <v>-29</v>
      </c>
      <c r="F813">
        <v>0</v>
      </c>
      <c r="G813">
        <v>700003699</v>
      </c>
      <c r="H813" s="1">
        <v>45820</v>
      </c>
      <c r="I813">
        <f>YEAR(Table1[[#This Row],[Posting Date]])</f>
        <v>2025</v>
      </c>
      <c r="J813">
        <f>MONTH(Table1[[#This Row],[Posting Date]])</f>
        <v>4</v>
      </c>
      <c r="K813" t="str">
        <f>IF(Table1[[#This Row],[Type]]="IN",VLOOKUP(Table1[[#This Row],[Cust '#]],ClientInfo!$A:$D,4,0),"")</f>
        <v/>
      </c>
      <c r="L813" s="1" t="str">
        <f>IF(K813="NET30",Table1[[#This Row],[Posting Date]]+30,IF(K813="NET15",Table1[[#This Row],[Posting Date]]+15,IF(K813="COD",Table1[[#This Row],[Posting Date]],"")))</f>
        <v/>
      </c>
      <c r="M813" s="4" t="str">
        <f>IFERROR(IF(Table1[[#This Row],[Type]]="IN",Table1[[#This Row],[RC Date]]-Table1[[#This Row],[Posting Date]],""),"")</f>
        <v/>
      </c>
      <c r="N813">
        <f>IFERROR(IF(Table1[[#This Row],[Balance Due (LC)]]&lt;&gt;0,$S$1-L813,0),"")</f>
        <v>0</v>
      </c>
      <c r="O813">
        <f>IFERROR(IF(Table1[[#This Row],[Type]]="IN",Table1[[#This Row],[C/D (LC)]],IF(Table1[[#This Row],[Type]]="CN",Table1[[#This Row],[C/D (LC)]],"")),"")</f>
        <v>-29</v>
      </c>
      <c r="P813" t="str">
        <f>VLOOKUP(Table1[[#This Row],[Cust '#]],ClientInfo!$A:$B,2,0)</f>
        <v>Client_08</v>
      </c>
    </row>
    <row r="814" spans="1:16">
      <c r="A814" t="s">
        <v>114</v>
      </c>
      <c r="B814" t="s">
        <v>12</v>
      </c>
      <c r="C814">
        <v>140023831</v>
      </c>
      <c r="D814" s="1">
        <v>45776</v>
      </c>
      <c r="E814">
        <v>5290.2</v>
      </c>
      <c r="F814">
        <v>0</v>
      </c>
      <c r="G814">
        <v>700003699</v>
      </c>
      <c r="H814" s="1">
        <v>45820</v>
      </c>
      <c r="I814">
        <f>YEAR(Table1[[#This Row],[Posting Date]])</f>
        <v>2025</v>
      </c>
      <c r="J814">
        <f>MONTH(Table1[[#This Row],[Posting Date]])</f>
        <v>4</v>
      </c>
      <c r="K814" t="str">
        <f>IF(Table1[[#This Row],[Type]]="IN",VLOOKUP(Table1[[#This Row],[Cust '#]],ClientInfo!$A:$D,4,0),"")</f>
        <v>NET30</v>
      </c>
      <c r="L814" s="1">
        <f>IF(K814="NET30",Table1[[#This Row],[Posting Date]]+30,IF(K814="NET15",Table1[[#This Row],[Posting Date]]+15,IF(K814="COD",Table1[[#This Row],[Posting Date]],"")))</f>
        <v>45806</v>
      </c>
      <c r="M814" s="4">
        <f>IFERROR(IF(Table1[[#This Row],[Type]]="IN",Table1[[#This Row],[RC Date]]-Table1[[#This Row],[Posting Date]],""),"")</f>
        <v>44</v>
      </c>
      <c r="N814">
        <f>IFERROR(IF(Table1[[#This Row],[Balance Due (LC)]]&lt;&gt;0,$S$1-L814,0),"")</f>
        <v>0</v>
      </c>
      <c r="O814">
        <f>IFERROR(IF(Table1[[#This Row],[Type]]="IN",Table1[[#This Row],[C/D (LC)]],IF(Table1[[#This Row],[Type]]="CN",Table1[[#This Row],[C/D (LC)]],"")),"")</f>
        <v>5290.2</v>
      </c>
      <c r="P814" t="str">
        <f>VLOOKUP(Table1[[#This Row],[Cust '#]],ClientInfo!$A:$B,2,0)</f>
        <v>Client_08</v>
      </c>
    </row>
    <row r="815" spans="1:16">
      <c r="A815" t="s">
        <v>114</v>
      </c>
      <c r="B815" t="s">
        <v>13</v>
      </c>
      <c r="C815">
        <v>150001103</v>
      </c>
      <c r="D815" s="1">
        <v>45778</v>
      </c>
      <c r="E815">
        <v>-52</v>
      </c>
      <c r="F815">
        <v>0</v>
      </c>
      <c r="G815">
        <v>700003699</v>
      </c>
      <c r="H815" s="1">
        <v>45820</v>
      </c>
      <c r="I815">
        <f>YEAR(Table1[[#This Row],[Posting Date]])</f>
        <v>2025</v>
      </c>
      <c r="J815">
        <f>MONTH(Table1[[#This Row],[Posting Date]])</f>
        <v>5</v>
      </c>
      <c r="K815" t="str">
        <f>IF(Table1[[#This Row],[Type]]="IN",VLOOKUP(Table1[[#This Row],[Cust '#]],ClientInfo!$A:$D,4,0),"")</f>
        <v/>
      </c>
      <c r="L815" s="1" t="str">
        <f>IF(K815="NET30",Table1[[#This Row],[Posting Date]]+30,IF(K815="NET15",Table1[[#This Row],[Posting Date]]+15,IF(K815="COD",Table1[[#This Row],[Posting Date]],"")))</f>
        <v/>
      </c>
      <c r="M815" s="4" t="str">
        <f>IFERROR(IF(Table1[[#This Row],[Type]]="IN",Table1[[#This Row],[RC Date]]-Table1[[#This Row],[Posting Date]],""),"")</f>
        <v/>
      </c>
      <c r="N815">
        <f>IFERROR(IF(Table1[[#This Row],[Balance Due (LC)]]&lt;&gt;0,$S$1-L815,0),"")</f>
        <v>0</v>
      </c>
      <c r="O815">
        <f>IFERROR(IF(Table1[[#This Row],[Type]]="IN",Table1[[#This Row],[C/D (LC)]],IF(Table1[[#This Row],[Type]]="CN",Table1[[#This Row],[C/D (LC)]],"")),"")</f>
        <v>-52</v>
      </c>
      <c r="P815" t="str">
        <f>VLOOKUP(Table1[[#This Row],[Cust '#]],ClientInfo!$A:$B,2,0)</f>
        <v>Client_08</v>
      </c>
    </row>
    <row r="816" spans="1:16">
      <c r="A816" t="s">
        <v>114</v>
      </c>
      <c r="B816" t="s">
        <v>12</v>
      </c>
      <c r="C816">
        <v>140024120</v>
      </c>
      <c r="D816" s="1">
        <v>45783</v>
      </c>
      <c r="E816">
        <v>7326</v>
      </c>
      <c r="F816">
        <v>7326</v>
      </c>
      <c r="H816" s="1" t="s">
        <v>14</v>
      </c>
      <c r="I816">
        <f>YEAR(Table1[[#This Row],[Posting Date]])</f>
        <v>2025</v>
      </c>
      <c r="J816">
        <f>MONTH(Table1[[#This Row],[Posting Date]])</f>
        <v>5</v>
      </c>
      <c r="K816" t="str">
        <f>IF(Table1[[#This Row],[Type]]="IN",VLOOKUP(Table1[[#This Row],[Cust '#]],ClientInfo!$A:$D,4,0),"")</f>
        <v>NET30</v>
      </c>
      <c r="L816" s="1">
        <f>IF(K816="NET30",Table1[[#This Row],[Posting Date]]+30,IF(K816="NET15",Table1[[#This Row],[Posting Date]]+15,IF(K816="COD",Table1[[#This Row],[Posting Date]],"")))</f>
        <v>45813</v>
      </c>
      <c r="M816" s="4" t="str">
        <f>IFERROR(IF(Table1[[#This Row],[Type]]="IN",Table1[[#This Row],[RC Date]]-Table1[[#This Row],[Posting Date]],""),"")</f>
        <v/>
      </c>
      <c r="N816">
        <f>IFERROR(IF(Table1[[#This Row],[Balance Due (LC)]]&lt;&gt;0,$S$1-L816,0),"")</f>
        <v>13</v>
      </c>
      <c r="O816">
        <f>IFERROR(IF(Table1[[#This Row],[Type]]="IN",Table1[[#This Row],[C/D (LC)]],IF(Table1[[#This Row],[Type]]="CN",Table1[[#This Row],[C/D (LC)]],"")),"")</f>
        <v>7326</v>
      </c>
      <c r="P816" t="str">
        <f>VLOOKUP(Table1[[#This Row],[Cust '#]],ClientInfo!$A:$B,2,0)</f>
        <v>Client_08</v>
      </c>
    </row>
    <row r="817" spans="1:16">
      <c r="A817" t="s">
        <v>114</v>
      </c>
      <c r="B817" t="s">
        <v>12</v>
      </c>
      <c r="C817">
        <v>140024268</v>
      </c>
      <c r="D817" s="1">
        <v>45785</v>
      </c>
      <c r="E817">
        <v>577.20000000000005</v>
      </c>
      <c r="F817">
        <v>577.20000000000005</v>
      </c>
      <c r="H817" s="1" t="s">
        <v>14</v>
      </c>
      <c r="I817">
        <f>YEAR(Table1[[#This Row],[Posting Date]])</f>
        <v>2025</v>
      </c>
      <c r="J817">
        <f>MONTH(Table1[[#This Row],[Posting Date]])</f>
        <v>5</v>
      </c>
      <c r="K817" t="str">
        <f>IF(Table1[[#This Row],[Type]]="IN",VLOOKUP(Table1[[#This Row],[Cust '#]],ClientInfo!$A:$D,4,0),"")</f>
        <v>NET30</v>
      </c>
      <c r="L817" s="1">
        <f>IF(K817="NET30",Table1[[#This Row],[Posting Date]]+30,IF(K817="NET15",Table1[[#This Row],[Posting Date]]+15,IF(K817="COD",Table1[[#This Row],[Posting Date]],"")))</f>
        <v>45815</v>
      </c>
      <c r="M817" s="4" t="str">
        <f>IFERROR(IF(Table1[[#This Row],[Type]]="IN",Table1[[#This Row],[RC Date]]-Table1[[#This Row],[Posting Date]],""),"")</f>
        <v/>
      </c>
      <c r="N817">
        <f>IFERROR(IF(Table1[[#This Row],[Balance Due (LC)]]&lt;&gt;0,$S$1-L817,0),"")</f>
        <v>11</v>
      </c>
      <c r="O817">
        <f>IFERROR(IF(Table1[[#This Row],[Type]]="IN",Table1[[#This Row],[C/D (LC)]],IF(Table1[[#This Row],[Type]]="CN",Table1[[#This Row],[C/D (LC)]],"")),"")</f>
        <v>577.20000000000005</v>
      </c>
      <c r="P817" t="str">
        <f>VLOOKUP(Table1[[#This Row],[Cust '#]],ClientInfo!$A:$B,2,0)</f>
        <v>Client_08</v>
      </c>
    </row>
    <row r="818" spans="1:16">
      <c r="A818" t="s">
        <v>114</v>
      </c>
      <c r="B818" t="s">
        <v>10</v>
      </c>
      <c r="C818">
        <v>700003424</v>
      </c>
      <c r="D818" s="1">
        <v>45786</v>
      </c>
      <c r="E818">
        <v>-34592.71</v>
      </c>
      <c r="F818">
        <v>0</v>
      </c>
      <c r="G818">
        <v>700003424</v>
      </c>
      <c r="H818" s="1">
        <v>45786</v>
      </c>
      <c r="I818">
        <f>YEAR(Table1[[#This Row],[Posting Date]])</f>
        <v>2025</v>
      </c>
      <c r="J818">
        <f>MONTH(Table1[[#This Row],[Posting Date]])</f>
        <v>5</v>
      </c>
      <c r="K818" t="str">
        <f>IF(Table1[[#This Row],[Type]]="IN",VLOOKUP(Table1[[#This Row],[Cust '#]],ClientInfo!$A:$D,4,0),"")</f>
        <v/>
      </c>
      <c r="L818" s="1" t="str">
        <f>IF(K818="NET30",Table1[[#This Row],[Posting Date]]+30,IF(K818="NET15",Table1[[#This Row],[Posting Date]]+15,IF(K818="COD",Table1[[#This Row],[Posting Date]],"")))</f>
        <v/>
      </c>
      <c r="M818" s="4" t="str">
        <f>IFERROR(IF(Table1[[#This Row],[Type]]="IN",Table1[[#This Row],[RC Date]]-Table1[[#This Row],[Posting Date]],""),"")</f>
        <v/>
      </c>
      <c r="N818">
        <f>IFERROR(IF(Table1[[#This Row],[Balance Due (LC)]]&lt;&gt;0,$S$1-L818,0),"")</f>
        <v>0</v>
      </c>
      <c r="O818" t="str">
        <f>IFERROR(IF(Table1[[#This Row],[Type]]="IN",Table1[[#This Row],[C/D (LC)]],IF(Table1[[#This Row],[Type]]="CN",Table1[[#This Row],[C/D (LC)]],"")),"")</f>
        <v/>
      </c>
      <c r="P818" t="str">
        <f>VLOOKUP(Table1[[#This Row],[Cust '#]],ClientInfo!$A:$B,2,0)</f>
        <v>Client_08</v>
      </c>
    </row>
    <row r="819" spans="1:16">
      <c r="A819" t="s">
        <v>114</v>
      </c>
      <c r="B819" t="s">
        <v>12</v>
      </c>
      <c r="C819">
        <v>140024440</v>
      </c>
      <c r="D819" s="1">
        <v>45790</v>
      </c>
      <c r="E819">
        <v>7706</v>
      </c>
      <c r="F819">
        <v>7706</v>
      </c>
      <c r="H819" s="1" t="s">
        <v>14</v>
      </c>
      <c r="I819">
        <f>YEAR(Table1[[#This Row],[Posting Date]])</f>
        <v>2025</v>
      </c>
      <c r="J819">
        <f>MONTH(Table1[[#This Row],[Posting Date]])</f>
        <v>5</v>
      </c>
      <c r="K819" t="str">
        <f>IF(Table1[[#This Row],[Type]]="IN",VLOOKUP(Table1[[#This Row],[Cust '#]],ClientInfo!$A:$D,4,0),"")</f>
        <v>NET30</v>
      </c>
      <c r="L819" s="1">
        <f>IF(K819="NET30",Table1[[#This Row],[Posting Date]]+30,IF(K819="NET15",Table1[[#This Row],[Posting Date]]+15,IF(K819="COD",Table1[[#This Row],[Posting Date]],"")))</f>
        <v>45820</v>
      </c>
      <c r="M819" s="4" t="str">
        <f>IFERROR(IF(Table1[[#This Row],[Type]]="IN",Table1[[#This Row],[RC Date]]-Table1[[#This Row],[Posting Date]],""),"")</f>
        <v/>
      </c>
      <c r="N819">
        <f>IFERROR(IF(Table1[[#This Row],[Balance Due (LC)]]&lt;&gt;0,$S$1-L819,0),"")</f>
        <v>6</v>
      </c>
      <c r="O819">
        <f>IFERROR(IF(Table1[[#This Row],[Type]]="IN",Table1[[#This Row],[C/D (LC)]],IF(Table1[[#This Row],[Type]]="CN",Table1[[#This Row],[C/D (LC)]],"")),"")</f>
        <v>7706</v>
      </c>
      <c r="P819" t="str">
        <f>VLOOKUP(Table1[[#This Row],[Cust '#]],ClientInfo!$A:$B,2,0)</f>
        <v>Client_08</v>
      </c>
    </row>
    <row r="820" spans="1:16">
      <c r="A820" t="s">
        <v>114</v>
      </c>
      <c r="B820" t="s">
        <v>12</v>
      </c>
      <c r="C820">
        <v>140024774</v>
      </c>
      <c r="D820" s="1">
        <v>45797</v>
      </c>
      <c r="E820">
        <v>5714</v>
      </c>
      <c r="F820">
        <v>5714</v>
      </c>
      <c r="H820" s="1" t="s">
        <v>14</v>
      </c>
      <c r="I820">
        <f>YEAR(Table1[[#This Row],[Posting Date]])</f>
        <v>2025</v>
      </c>
      <c r="J820">
        <f>MONTH(Table1[[#This Row],[Posting Date]])</f>
        <v>5</v>
      </c>
      <c r="K820" t="str">
        <f>IF(Table1[[#This Row],[Type]]="IN",VLOOKUP(Table1[[#This Row],[Cust '#]],ClientInfo!$A:$D,4,0),"")</f>
        <v>NET30</v>
      </c>
      <c r="L820" s="1">
        <f>IF(K820="NET30",Table1[[#This Row],[Posting Date]]+30,IF(K820="NET15",Table1[[#This Row],[Posting Date]]+15,IF(K820="COD",Table1[[#This Row],[Posting Date]],"")))</f>
        <v>45827</v>
      </c>
      <c r="M820" s="4" t="str">
        <f>IFERROR(IF(Table1[[#This Row],[Type]]="IN",Table1[[#This Row],[RC Date]]-Table1[[#This Row],[Posting Date]],""),"")</f>
        <v/>
      </c>
      <c r="N820">
        <f>IFERROR(IF(Table1[[#This Row],[Balance Due (LC)]]&lt;&gt;0,$S$1-L820,0),"")</f>
        <v>-1</v>
      </c>
      <c r="O820">
        <f>IFERROR(IF(Table1[[#This Row],[Type]]="IN",Table1[[#This Row],[C/D (LC)]],IF(Table1[[#This Row],[Type]]="CN",Table1[[#This Row],[C/D (LC)]],"")),"")</f>
        <v>5714</v>
      </c>
      <c r="P820" t="str">
        <f>VLOOKUP(Table1[[#This Row],[Cust '#]],ClientInfo!$A:$B,2,0)</f>
        <v>Client_08</v>
      </c>
    </row>
    <row r="821" spans="1:16">
      <c r="A821" t="s">
        <v>114</v>
      </c>
      <c r="B821" t="s">
        <v>12</v>
      </c>
      <c r="C821">
        <v>140024964</v>
      </c>
      <c r="D821" s="1">
        <v>45800</v>
      </c>
      <c r="E821">
        <v>1380</v>
      </c>
      <c r="F821">
        <v>1380</v>
      </c>
      <c r="H821" s="1" t="s">
        <v>14</v>
      </c>
      <c r="I821">
        <f>YEAR(Table1[[#This Row],[Posting Date]])</f>
        <v>2025</v>
      </c>
      <c r="J821">
        <f>MONTH(Table1[[#This Row],[Posting Date]])</f>
        <v>5</v>
      </c>
      <c r="K821" t="str">
        <f>IF(Table1[[#This Row],[Type]]="IN",VLOOKUP(Table1[[#This Row],[Cust '#]],ClientInfo!$A:$D,4,0),"")</f>
        <v>NET30</v>
      </c>
      <c r="L821" s="1">
        <f>IF(K821="NET30",Table1[[#This Row],[Posting Date]]+30,IF(K821="NET15",Table1[[#This Row],[Posting Date]]+15,IF(K821="COD",Table1[[#This Row],[Posting Date]],"")))</f>
        <v>45830</v>
      </c>
      <c r="M821" s="4" t="str">
        <f>IFERROR(IF(Table1[[#This Row],[Type]]="IN",Table1[[#This Row],[RC Date]]-Table1[[#This Row],[Posting Date]],""),"")</f>
        <v/>
      </c>
      <c r="N821">
        <f>IFERROR(IF(Table1[[#This Row],[Balance Due (LC)]]&lt;&gt;0,$S$1-L821,0),"")</f>
        <v>-4</v>
      </c>
      <c r="O821">
        <f>IFERROR(IF(Table1[[#This Row],[Type]]="IN",Table1[[#This Row],[C/D (LC)]],IF(Table1[[#This Row],[Type]]="CN",Table1[[#This Row],[C/D (LC)]],"")),"")</f>
        <v>1380</v>
      </c>
      <c r="P821" t="str">
        <f>VLOOKUP(Table1[[#This Row],[Cust '#]],ClientInfo!$A:$B,2,0)</f>
        <v>Client_08</v>
      </c>
    </row>
    <row r="822" spans="1:16">
      <c r="A822" t="s">
        <v>114</v>
      </c>
      <c r="B822" t="s">
        <v>12</v>
      </c>
      <c r="C822">
        <v>140025075</v>
      </c>
      <c r="D822" s="1">
        <v>45804</v>
      </c>
      <c r="E822">
        <v>7747.8</v>
      </c>
      <c r="F822">
        <v>7747.8</v>
      </c>
      <c r="H822" s="1" t="s">
        <v>14</v>
      </c>
      <c r="I822">
        <f>YEAR(Table1[[#This Row],[Posting Date]])</f>
        <v>2025</v>
      </c>
      <c r="J822">
        <f>MONTH(Table1[[#This Row],[Posting Date]])</f>
        <v>5</v>
      </c>
      <c r="K822" t="str">
        <f>IF(Table1[[#This Row],[Type]]="IN",VLOOKUP(Table1[[#This Row],[Cust '#]],ClientInfo!$A:$D,4,0),"")</f>
        <v>NET30</v>
      </c>
      <c r="L822" s="1">
        <f>IF(K822="NET30",Table1[[#This Row],[Posting Date]]+30,IF(K822="NET15",Table1[[#This Row],[Posting Date]]+15,IF(K822="COD",Table1[[#This Row],[Posting Date]],"")))</f>
        <v>45834</v>
      </c>
      <c r="M822" s="4" t="str">
        <f>IFERROR(IF(Table1[[#This Row],[Type]]="IN",Table1[[#This Row],[RC Date]]-Table1[[#This Row],[Posting Date]],""),"")</f>
        <v/>
      </c>
      <c r="N822">
        <f>IFERROR(IF(Table1[[#This Row],[Balance Due (LC)]]&lt;&gt;0,$S$1-L822,0),"")</f>
        <v>-8</v>
      </c>
      <c r="O822">
        <f>IFERROR(IF(Table1[[#This Row],[Type]]="IN",Table1[[#This Row],[C/D (LC)]],IF(Table1[[#This Row],[Type]]="CN",Table1[[#This Row],[C/D (LC)]],"")),"")</f>
        <v>7747.8</v>
      </c>
      <c r="P822" t="str">
        <f>VLOOKUP(Table1[[#This Row],[Cust '#]],ClientInfo!$A:$B,2,0)</f>
        <v>Client_08</v>
      </c>
    </row>
    <row r="823" spans="1:16">
      <c r="A823" t="s">
        <v>114</v>
      </c>
      <c r="B823" t="s">
        <v>12</v>
      </c>
      <c r="C823">
        <v>140025382</v>
      </c>
      <c r="D823" s="1">
        <v>45811</v>
      </c>
      <c r="E823">
        <v>6753.1</v>
      </c>
      <c r="F823">
        <v>6753.1</v>
      </c>
      <c r="H823" s="1" t="s">
        <v>14</v>
      </c>
      <c r="I823">
        <f>YEAR(Table1[[#This Row],[Posting Date]])</f>
        <v>2025</v>
      </c>
      <c r="J823">
        <f>MONTH(Table1[[#This Row],[Posting Date]])</f>
        <v>6</v>
      </c>
      <c r="K823" t="str">
        <f>IF(Table1[[#This Row],[Type]]="IN",VLOOKUP(Table1[[#This Row],[Cust '#]],ClientInfo!$A:$D,4,0),"")</f>
        <v>NET30</v>
      </c>
      <c r="L823" s="1">
        <f>IF(K823="NET30",Table1[[#This Row],[Posting Date]]+30,IF(K823="NET15",Table1[[#This Row],[Posting Date]]+15,IF(K823="COD",Table1[[#This Row],[Posting Date]],"")))</f>
        <v>45841</v>
      </c>
      <c r="M823" s="4" t="str">
        <f>IFERROR(IF(Table1[[#This Row],[Type]]="IN",Table1[[#This Row],[RC Date]]-Table1[[#This Row],[Posting Date]],""),"")</f>
        <v/>
      </c>
      <c r="N823">
        <f>IFERROR(IF(Table1[[#This Row],[Balance Due (LC)]]&lt;&gt;0,$S$1-L823,0),"")</f>
        <v>-15</v>
      </c>
      <c r="O823">
        <f>IFERROR(IF(Table1[[#This Row],[Type]]="IN",Table1[[#This Row],[C/D (LC)]],IF(Table1[[#This Row],[Type]]="CN",Table1[[#This Row],[C/D (LC)]],"")),"")</f>
        <v>6753.1</v>
      </c>
      <c r="P823" t="str">
        <f>VLOOKUP(Table1[[#This Row],[Cust '#]],ClientInfo!$A:$B,2,0)</f>
        <v>Client_08</v>
      </c>
    </row>
    <row r="824" spans="1:16">
      <c r="A824" t="s">
        <v>114</v>
      </c>
      <c r="B824" t="s">
        <v>12</v>
      </c>
      <c r="C824">
        <v>140025637</v>
      </c>
      <c r="D824" s="1">
        <v>45814</v>
      </c>
      <c r="E824">
        <v>135</v>
      </c>
      <c r="F824">
        <v>135</v>
      </c>
      <c r="H824" s="1" t="s">
        <v>14</v>
      </c>
      <c r="I824">
        <f>YEAR(Table1[[#This Row],[Posting Date]])</f>
        <v>2025</v>
      </c>
      <c r="J824">
        <f>MONTH(Table1[[#This Row],[Posting Date]])</f>
        <v>6</v>
      </c>
      <c r="K824" t="str">
        <f>IF(Table1[[#This Row],[Type]]="IN",VLOOKUP(Table1[[#This Row],[Cust '#]],ClientInfo!$A:$D,4,0),"")</f>
        <v>NET30</v>
      </c>
      <c r="L824" s="1">
        <f>IF(K824="NET30",Table1[[#This Row],[Posting Date]]+30,IF(K824="NET15",Table1[[#This Row],[Posting Date]]+15,IF(K824="COD",Table1[[#This Row],[Posting Date]],"")))</f>
        <v>45844</v>
      </c>
      <c r="M824" s="4" t="str">
        <f>IFERROR(IF(Table1[[#This Row],[Type]]="IN",Table1[[#This Row],[RC Date]]-Table1[[#This Row],[Posting Date]],""),"")</f>
        <v/>
      </c>
      <c r="N824">
        <f>IFERROR(IF(Table1[[#This Row],[Balance Due (LC)]]&lt;&gt;0,$S$1-L824,0),"")</f>
        <v>-18</v>
      </c>
      <c r="O824">
        <f>IFERROR(IF(Table1[[#This Row],[Type]]="IN",Table1[[#This Row],[C/D (LC)]],IF(Table1[[#This Row],[Type]]="CN",Table1[[#This Row],[C/D (LC)]],"")),"")</f>
        <v>135</v>
      </c>
      <c r="P824" t="str">
        <f>VLOOKUP(Table1[[#This Row],[Cust '#]],ClientInfo!$A:$B,2,0)</f>
        <v>Client_08</v>
      </c>
    </row>
    <row r="825" spans="1:16">
      <c r="A825" t="s">
        <v>114</v>
      </c>
      <c r="B825" t="s">
        <v>12</v>
      </c>
      <c r="C825">
        <v>140025719</v>
      </c>
      <c r="D825" s="1">
        <v>45818</v>
      </c>
      <c r="E825">
        <v>7925.05</v>
      </c>
      <c r="F825">
        <v>7925.05</v>
      </c>
      <c r="H825" s="1" t="s">
        <v>14</v>
      </c>
      <c r="I825">
        <f>YEAR(Table1[[#This Row],[Posting Date]])</f>
        <v>2025</v>
      </c>
      <c r="J825">
        <f>MONTH(Table1[[#This Row],[Posting Date]])</f>
        <v>6</v>
      </c>
      <c r="K825" t="str">
        <f>IF(Table1[[#This Row],[Type]]="IN",VLOOKUP(Table1[[#This Row],[Cust '#]],ClientInfo!$A:$D,4,0),"")</f>
        <v>NET30</v>
      </c>
      <c r="L825" s="1">
        <f>IF(K825="NET30",Table1[[#This Row],[Posting Date]]+30,IF(K825="NET15",Table1[[#This Row],[Posting Date]]+15,IF(K825="COD",Table1[[#This Row],[Posting Date]],"")))</f>
        <v>45848</v>
      </c>
      <c r="M825" s="4" t="str">
        <f>IFERROR(IF(Table1[[#This Row],[Type]]="IN",Table1[[#This Row],[RC Date]]-Table1[[#This Row],[Posting Date]],""),"")</f>
        <v/>
      </c>
      <c r="N825">
        <f>IFERROR(IF(Table1[[#This Row],[Balance Due (LC)]]&lt;&gt;0,$S$1-L825,0),"")</f>
        <v>-22</v>
      </c>
      <c r="O825">
        <f>IFERROR(IF(Table1[[#This Row],[Type]]="IN",Table1[[#This Row],[C/D (LC)]],IF(Table1[[#This Row],[Type]]="CN",Table1[[#This Row],[C/D (LC)]],"")),"")</f>
        <v>7925.05</v>
      </c>
      <c r="P825" t="str">
        <f>VLOOKUP(Table1[[#This Row],[Cust '#]],ClientInfo!$A:$B,2,0)</f>
        <v>Client_08</v>
      </c>
    </row>
    <row r="826" spans="1:16">
      <c r="A826" t="s">
        <v>114</v>
      </c>
      <c r="B826" t="s">
        <v>10</v>
      </c>
      <c r="C826">
        <v>700003699</v>
      </c>
      <c r="D826" s="1">
        <v>45820</v>
      </c>
      <c r="E826">
        <v>-26497.3</v>
      </c>
      <c r="F826">
        <v>0</v>
      </c>
      <c r="G826">
        <v>700003699</v>
      </c>
      <c r="H826" s="1">
        <v>45820</v>
      </c>
      <c r="I826">
        <f>YEAR(Table1[[#This Row],[Posting Date]])</f>
        <v>2025</v>
      </c>
      <c r="J826">
        <f>MONTH(Table1[[#This Row],[Posting Date]])</f>
        <v>6</v>
      </c>
      <c r="K826" t="str">
        <f>IF(Table1[[#This Row],[Type]]="IN",VLOOKUP(Table1[[#This Row],[Cust '#]],ClientInfo!$A:$D,4,0),"")</f>
        <v/>
      </c>
      <c r="L826" s="1" t="str">
        <f>IF(K826="NET30",Table1[[#This Row],[Posting Date]]+30,IF(K826="NET15",Table1[[#This Row],[Posting Date]]+15,IF(K826="COD",Table1[[#This Row],[Posting Date]],"")))</f>
        <v/>
      </c>
      <c r="M826" s="4" t="str">
        <f>IFERROR(IF(Table1[[#This Row],[Type]]="IN",Table1[[#This Row],[RC Date]]-Table1[[#This Row],[Posting Date]],""),"")</f>
        <v/>
      </c>
      <c r="N826">
        <f>IFERROR(IF(Table1[[#This Row],[Balance Due (LC)]]&lt;&gt;0,$S$1-L826,0),"")</f>
        <v>0</v>
      </c>
      <c r="O826" t="str">
        <f>IFERROR(IF(Table1[[#This Row],[Type]]="IN",Table1[[#This Row],[C/D (LC)]],IF(Table1[[#This Row],[Type]]="CN",Table1[[#This Row],[C/D (LC)]],"")),"")</f>
        <v/>
      </c>
      <c r="P826" t="str">
        <f>VLOOKUP(Table1[[#This Row],[Cust '#]],ClientInfo!$A:$B,2,0)</f>
        <v>Client_08</v>
      </c>
    </row>
    <row r="827" spans="1:16">
      <c r="A827" t="s">
        <v>114</v>
      </c>
      <c r="B827" t="s">
        <v>12</v>
      </c>
      <c r="C827">
        <v>140026025</v>
      </c>
      <c r="D827" s="1">
        <v>45825</v>
      </c>
      <c r="E827">
        <v>8260.2000000000007</v>
      </c>
      <c r="F827">
        <v>8260.2000000000007</v>
      </c>
      <c r="H827" s="1" t="s">
        <v>14</v>
      </c>
      <c r="I827">
        <f>YEAR(Table1[[#This Row],[Posting Date]])</f>
        <v>2025</v>
      </c>
      <c r="J827">
        <f>MONTH(Table1[[#This Row],[Posting Date]])</f>
        <v>6</v>
      </c>
      <c r="K827" t="str">
        <f>IF(Table1[[#This Row],[Type]]="IN",VLOOKUP(Table1[[#This Row],[Cust '#]],ClientInfo!$A:$D,4,0),"")</f>
        <v>NET30</v>
      </c>
      <c r="L827" s="1">
        <f>IF(K827="NET30",Table1[[#This Row],[Posting Date]]+30,IF(K827="NET15",Table1[[#This Row],[Posting Date]]+15,IF(K827="COD",Table1[[#This Row],[Posting Date]],"")))</f>
        <v>45855</v>
      </c>
      <c r="M827" s="4" t="str">
        <f>IFERROR(IF(Table1[[#This Row],[Type]]="IN",Table1[[#This Row],[RC Date]]-Table1[[#This Row],[Posting Date]],""),"")</f>
        <v/>
      </c>
      <c r="N827">
        <f>IFERROR(IF(Table1[[#This Row],[Balance Due (LC)]]&lt;&gt;0,$S$1-L827,0),"")</f>
        <v>-29</v>
      </c>
      <c r="O827">
        <f>IFERROR(IF(Table1[[#This Row],[Type]]="IN",Table1[[#This Row],[C/D (LC)]],IF(Table1[[#This Row],[Type]]="CN",Table1[[#This Row],[C/D (LC)]],"")),"")</f>
        <v>8260.2000000000007</v>
      </c>
      <c r="P827" t="str">
        <f>VLOOKUP(Table1[[#This Row],[Cust '#]],ClientInfo!$A:$B,2,0)</f>
        <v>Client_08</v>
      </c>
    </row>
    <row r="828" spans="1:16">
      <c r="A828" t="s">
        <v>114</v>
      </c>
      <c r="B828" t="s">
        <v>12</v>
      </c>
      <c r="C828">
        <v>140026056</v>
      </c>
      <c r="D828" s="1">
        <v>45825</v>
      </c>
      <c r="E828">
        <v>47.2</v>
      </c>
      <c r="F828">
        <v>47.2</v>
      </c>
      <c r="H828" s="1" t="s">
        <v>14</v>
      </c>
      <c r="I828">
        <f>YEAR(Table1[[#This Row],[Posting Date]])</f>
        <v>2025</v>
      </c>
      <c r="J828">
        <f>MONTH(Table1[[#This Row],[Posting Date]])</f>
        <v>6</v>
      </c>
      <c r="K828" t="str">
        <f>IF(Table1[[#This Row],[Type]]="IN",VLOOKUP(Table1[[#This Row],[Cust '#]],ClientInfo!$A:$D,4,0),"")</f>
        <v>NET30</v>
      </c>
      <c r="L828" s="1">
        <f>IF(K828="NET30",Table1[[#This Row],[Posting Date]]+30,IF(K828="NET15",Table1[[#This Row],[Posting Date]]+15,IF(K828="COD",Table1[[#This Row],[Posting Date]],"")))</f>
        <v>45855</v>
      </c>
      <c r="M828" s="4" t="str">
        <f>IFERROR(IF(Table1[[#This Row],[Type]]="IN",Table1[[#This Row],[RC Date]]-Table1[[#This Row],[Posting Date]],""),"")</f>
        <v/>
      </c>
      <c r="N828">
        <f>IFERROR(IF(Table1[[#This Row],[Balance Due (LC)]]&lt;&gt;0,$S$1-L828,0),"")</f>
        <v>-29</v>
      </c>
      <c r="O828">
        <f>IFERROR(IF(Table1[[#This Row],[Type]]="IN",Table1[[#This Row],[C/D (LC)]],IF(Table1[[#This Row],[Type]]="CN",Table1[[#This Row],[C/D (LC)]],"")),"")</f>
        <v>47.2</v>
      </c>
      <c r="P828" t="str">
        <f>VLOOKUP(Table1[[#This Row],[Cust '#]],ClientInfo!$A:$B,2,0)</f>
        <v>Client_08</v>
      </c>
    </row>
    <row r="829" spans="1:16">
      <c r="A829" t="s">
        <v>115</v>
      </c>
      <c r="B829" t="s">
        <v>12</v>
      </c>
      <c r="C829">
        <v>140003913</v>
      </c>
      <c r="D829" s="1">
        <v>45173</v>
      </c>
      <c r="E829">
        <v>92</v>
      </c>
      <c r="F829">
        <v>0</v>
      </c>
      <c r="G829">
        <v>150000447</v>
      </c>
      <c r="H829" s="1">
        <v>45485</v>
      </c>
      <c r="I829">
        <f>YEAR(Table1[[#This Row],[Posting Date]])</f>
        <v>2023</v>
      </c>
      <c r="J829">
        <f>MONTH(Table1[[#This Row],[Posting Date]])</f>
        <v>9</v>
      </c>
      <c r="K829" t="str">
        <f>IF(Table1[[#This Row],[Type]]="IN",VLOOKUP(Table1[[#This Row],[Cust '#]],ClientInfo!$A:$D,4,0),"")</f>
        <v>NET30</v>
      </c>
      <c r="L829" s="1">
        <f>IF(K829="NET30",Table1[[#This Row],[Posting Date]]+30,IF(K829="NET15",Table1[[#This Row],[Posting Date]]+15,IF(K829="COD",Table1[[#This Row],[Posting Date]],"")))</f>
        <v>45203</v>
      </c>
      <c r="M829" s="4">
        <f>IFERROR(IF(Table1[[#This Row],[Type]]="IN",Table1[[#This Row],[RC Date]]-Table1[[#This Row],[Posting Date]],""),"")</f>
        <v>312</v>
      </c>
      <c r="N829">
        <f>IFERROR(IF(Table1[[#This Row],[Balance Due (LC)]]&lt;&gt;0,$S$1-L829,0),"")</f>
        <v>0</v>
      </c>
      <c r="O829">
        <f>IFERROR(IF(Table1[[#This Row],[Type]]="IN",Table1[[#This Row],[C/D (LC)]],IF(Table1[[#This Row],[Type]]="CN",Table1[[#This Row],[C/D (LC)]],"")),"")</f>
        <v>92</v>
      </c>
      <c r="P829" t="str">
        <f>VLOOKUP(Table1[[#This Row],[Cust '#]],ClientInfo!$A:$B,2,0)</f>
        <v>Client_09</v>
      </c>
    </row>
    <row r="830" spans="1:16">
      <c r="A830" t="s">
        <v>115</v>
      </c>
      <c r="B830" t="s">
        <v>12</v>
      </c>
      <c r="C830">
        <v>140003914</v>
      </c>
      <c r="D830" s="1">
        <v>45201</v>
      </c>
      <c r="E830">
        <v>700</v>
      </c>
      <c r="F830">
        <v>0</v>
      </c>
      <c r="G830">
        <v>150000447</v>
      </c>
      <c r="H830" s="1">
        <v>45485</v>
      </c>
      <c r="I830">
        <f>YEAR(Table1[[#This Row],[Posting Date]])</f>
        <v>2023</v>
      </c>
      <c r="J830">
        <f>MONTH(Table1[[#This Row],[Posting Date]])</f>
        <v>10</v>
      </c>
      <c r="K830" t="str">
        <f>IF(Table1[[#This Row],[Type]]="IN",VLOOKUP(Table1[[#This Row],[Cust '#]],ClientInfo!$A:$D,4,0),"")</f>
        <v>NET30</v>
      </c>
      <c r="L830" s="1">
        <f>IF(K830="NET30",Table1[[#This Row],[Posting Date]]+30,IF(K830="NET15",Table1[[#This Row],[Posting Date]]+15,IF(K830="COD",Table1[[#This Row],[Posting Date]],"")))</f>
        <v>45231</v>
      </c>
      <c r="M830" s="4">
        <f>IFERROR(IF(Table1[[#This Row],[Type]]="IN",Table1[[#This Row],[RC Date]]-Table1[[#This Row],[Posting Date]],""),"")</f>
        <v>284</v>
      </c>
      <c r="N830">
        <f>IFERROR(IF(Table1[[#This Row],[Balance Due (LC)]]&lt;&gt;0,$S$1-L830,0),"")</f>
        <v>0</v>
      </c>
      <c r="O830">
        <f>IFERROR(IF(Table1[[#This Row],[Type]]="IN",Table1[[#This Row],[C/D (LC)]],IF(Table1[[#This Row],[Type]]="CN",Table1[[#This Row],[C/D (LC)]],"")),"")</f>
        <v>700</v>
      </c>
      <c r="P830" t="str">
        <f>VLOOKUP(Table1[[#This Row],[Cust '#]],ClientInfo!$A:$B,2,0)</f>
        <v>Client_09</v>
      </c>
    </row>
    <row r="831" spans="1:16">
      <c r="A831" t="s">
        <v>115</v>
      </c>
      <c r="B831" t="s">
        <v>13</v>
      </c>
      <c r="C831">
        <v>150000130</v>
      </c>
      <c r="D831" s="1">
        <v>45227</v>
      </c>
      <c r="E831">
        <v>-214</v>
      </c>
      <c r="F831">
        <v>0</v>
      </c>
      <c r="G831">
        <v>700002431</v>
      </c>
      <c r="H831" s="1">
        <v>45663</v>
      </c>
      <c r="I831">
        <f>YEAR(Table1[[#This Row],[Posting Date]])</f>
        <v>2023</v>
      </c>
      <c r="J831">
        <f>MONTH(Table1[[#This Row],[Posting Date]])</f>
        <v>10</v>
      </c>
      <c r="K831" t="str">
        <f>IF(Table1[[#This Row],[Type]]="IN",VLOOKUP(Table1[[#This Row],[Cust '#]],ClientInfo!$A:$D,4,0),"")</f>
        <v/>
      </c>
      <c r="L831" s="1" t="str">
        <f>IF(K831="NET30",Table1[[#This Row],[Posting Date]]+30,IF(K831="NET15",Table1[[#This Row],[Posting Date]]+15,IF(K831="COD",Table1[[#This Row],[Posting Date]],"")))</f>
        <v/>
      </c>
      <c r="M831" s="4" t="str">
        <f>IFERROR(IF(Table1[[#This Row],[Type]]="IN",Table1[[#This Row],[RC Date]]-Table1[[#This Row],[Posting Date]],""),"")</f>
        <v/>
      </c>
      <c r="N831">
        <f>IFERROR(IF(Table1[[#This Row],[Balance Due (LC)]]&lt;&gt;0,$S$1-L831,0),"")</f>
        <v>0</v>
      </c>
      <c r="O831">
        <f>IFERROR(IF(Table1[[#This Row],[Type]]="IN",Table1[[#This Row],[C/D (LC)]],IF(Table1[[#This Row],[Type]]="CN",Table1[[#This Row],[C/D (LC)]],"")),"")</f>
        <v>-214</v>
      </c>
      <c r="P831" t="str">
        <f>VLOOKUP(Table1[[#This Row],[Cust '#]],ClientInfo!$A:$B,2,0)</f>
        <v>Client_09</v>
      </c>
    </row>
    <row r="832" spans="1:16">
      <c r="A832" t="s">
        <v>115</v>
      </c>
      <c r="B832" t="s">
        <v>12</v>
      </c>
      <c r="C832">
        <v>140003915</v>
      </c>
      <c r="D832" s="1">
        <v>45309</v>
      </c>
      <c r="E832">
        <v>2193.6</v>
      </c>
      <c r="F832">
        <v>0</v>
      </c>
      <c r="G832">
        <v>700000173</v>
      </c>
      <c r="H832" s="1">
        <v>45364</v>
      </c>
      <c r="I832">
        <f>YEAR(Table1[[#This Row],[Posting Date]])</f>
        <v>2024</v>
      </c>
      <c r="J832">
        <f>MONTH(Table1[[#This Row],[Posting Date]])</f>
        <v>1</v>
      </c>
      <c r="K832" t="str">
        <f>IF(Table1[[#This Row],[Type]]="IN",VLOOKUP(Table1[[#This Row],[Cust '#]],ClientInfo!$A:$D,4,0),"")</f>
        <v>NET30</v>
      </c>
      <c r="L832" s="1">
        <f>IF(K832="NET30",Table1[[#This Row],[Posting Date]]+30,IF(K832="NET15",Table1[[#This Row],[Posting Date]]+15,IF(K832="COD",Table1[[#This Row],[Posting Date]],"")))</f>
        <v>45339</v>
      </c>
      <c r="M832" s="4">
        <f>IFERROR(IF(Table1[[#This Row],[Type]]="IN",Table1[[#This Row],[RC Date]]-Table1[[#This Row],[Posting Date]],""),"")</f>
        <v>55</v>
      </c>
      <c r="N832">
        <f>IFERROR(IF(Table1[[#This Row],[Balance Due (LC)]]&lt;&gt;0,$S$1-L832,0),"")</f>
        <v>0</v>
      </c>
      <c r="O832">
        <f>IFERROR(IF(Table1[[#This Row],[Type]]="IN",Table1[[#This Row],[C/D (LC)]],IF(Table1[[#This Row],[Type]]="CN",Table1[[#This Row],[C/D (LC)]],"")),"")</f>
        <v>2193.6</v>
      </c>
      <c r="P832" t="str">
        <f>VLOOKUP(Table1[[#This Row],[Cust '#]],ClientInfo!$A:$B,2,0)</f>
        <v>Client_09</v>
      </c>
    </row>
    <row r="833" spans="1:16">
      <c r="A833" t="s">
        <v>115</v>
      </c>
      <c r="B833" t="s">
        <v>12</v>
      </c>
      <c r="C833">
        <v>140003916</v>
      </c>
      <c r="D833" s="1">
        <v>45327</v>
      </c>
      <c r="E833">
        <v>4616</v>
      </c>
      <c r="F833">
        <v>0</v>
      </c>
      <c r="G833">
        <v>700000173</v>
      </c>
      <c r="H833" s="1">
        <v>45364</v>
      </c>
      <c r="I833">
        <f>YEAR(Table1[[#This Row],[Posting Date]])</f>
        <v>2024</v>
      </c>
      <c r="J833">
        <f>MONTH(Table1[[#This Row],[Posting Date]])</f>
        <v>2</v>
      </c>
      <c r="K833" t="str">
        <f>IF(Table1[[#This Row],[Type]]="IN",VLOOKUP(Table1[[#This Row],[Cust '#]],ClientInfo!$A:$D,4,0),"")</f>
        <v>NET30</v>
      </c>
      <c r="L833" s="1">
        <f>IF(K833="NET30",Table1[[#This Row],[Posting Date]]+30,IF(K833="NET15",Table1[[#This Row],[Posting Date]]+15,IF(K833="COD",Table1[[#This Row],[Posting Date]],"")))</f>
        <v>45357</v>
      </c>
      <c r="M833" s="4">
        <f>IFERROR(IF(Table1[[#This Row],[Type]]="IN",Table1[[#This Row],[RC Date]]-Table1[[#This Row],[Posting Date]],""),"")</f>
        <v>37</v>
      </c>
      <c r="N833">
        <f>IFERROR(IF(Table1[[#This Row],[Balance Due (LC)]]&lt;&gt;0,$S$1-L833,0),"")</f>
        <v>0</v>
      </c>
      <c r="O833">
        <f>IFERROR(IF(Table1[[#This Row],[Type]]="IN",Table1[[#This Row],[C/D (LC)]],IF(Table1[[#This Row],[Type]]="CN",Table1[[#This Row],[C/D (LC)]],"")),"")</f>
        <v>4616</v>
      </c>
      <c r="P833" t="str">
        <f>VLOOKUP(Table1[[#This Row],[Cust '#]],ClientInfo!$A:$B,2,0)</f>
        <v>Client_09</v>
      </c>
    </row>
    <row r="834" spans="1:16">
      <c r="A834" t="s">
        <v>115</v>
      </c>
      <c r="B834" t="s">
        <v>12</v>
      </c>
      <c r="C834">
        <v>140003917</v>
      </c>
      <c r="D834" s="1">
        <v>45348</v>
      </c>
      <c r="E834">
        <v>3118</v>
      </c>
      <c r="F834">
        <v>0</v>
      </c>
      <c r="G834">
        <v>700000306</v>
      </c>
      <c r="H834" s="1">
        <v>45383</v>
      </c>
      <c r="I834">
        <f>YEAR(Table1[[#This Row],[Posting Date]])</f>
        <v>2024</v>
      </c>
      <c r="J834">
        <f>MONTH(Table1[[#This Row],[Posting Date]])</f>
        <v>2</v>
      </c>
      <c r="K834" t="str">
        <f>IF(Table1[[#This Row],[Type]]="IN",VLOOKUP(Table1[[#This Row],[Cust '#]],ClientInfo!$A:$D,4,0),"")</f>
        <v>NET30</v>
      </c>
      <c r="L834" s="1">
        <f>IF(K834="NET30",Table1[[#This Row],[Posting Date]]+30,IF(K834="NET15",Table1[[#This Row],[Posting Date]]+15,IF(K834="COD",Table1[[#This Row],[Posting Date]],"")))</f>
        <v>45378</v>
      </c>
      <c r="M834" s="4">
        <f>IFERROR(IF(Table1[[#This Row],[Type]]="IN",Table1[[#This Row],[RC Date]]-Table1[[#This Row],[Posting Date]],""),"")</f>
        <v>35</v>
      </c>
      <c r="N834">
        <f>IFERROR(IF(Table1[[#This Row],[Balance Due (LC)]]&lt;&gt;0,$S$1-L834,0),"")</f>
        <v>0</v>
      </c>
      <c r="O834">
        <f>IFERROR(IF(Table1[[#This Row],[Type]]="IN",Table1[[#This Row],[C/D (LC)]],IF(Table1[[#This Row],[Type]]="CN",Table1[[#This Row],[C/D (LC)]],"")),"")</f>
        <v>3118</v>
      </c>
      <c r="P834" t="str">
        <f>VLOOKUP(Table1[[#This Row],[Cust '#]],ClientInfo!$A:$B,2,0)</f>
        <v>Client_09</v>
      </c>
    </row>
    <row r="835" spans="1:16">
      <c r="A835" t="s">
        <v>115</v>
      </c>
      <c r="B835" t="s">
        <v>12</v>
      </c>
      <c r="C835">
        <v>140004823</v>
      </c>
      <c r="D835" s="1">
        <v>45362</v>
      </c>
      <c r="E835">
        <v>1547.5</v>
      </c>
      <c r="F835">
        <v>0</v>
      </c>
      <c r="G835">
        <v>700000414</v>
      </c>
      <c r="H835" s="1">
        <v>45397</v>
      </c>
      <c r="I835">
        <f>YEAR(Table1[[#This Row],[Posting Date]])</f>
        <v>2024</v>
      </c>
      <c r="J835">
        <f>MONTH(Table1[[#This Row],[Posting Date]])</f>
        <v>3</v>
      </c>
      <c r="K835" t="str">
        <f>IF(Table1[[#This Row],[Type]]="IN",VLOOKUP(Table1[[#This Row],[Cust '#]],ClientInfo!$A:$D,4,0),"")</f>
        <v>NET30</v>
      </c>
      <c r="L835" s="1">
        <f>IF(K835="NET30",Table1[[#This Row],[Posting Date]]+30,IF(K835="NET15",Table1[[#This Row],[Posting Date]]+15,IF(K835="COD",Table1[[#This Row],[Posting Date]],"")))</f>
        <v>45392</v>
      </c>
      <c r="M835" s="4">
        <f>IFERROR(IF(Table1[[#This Row],[Type]]="IN",Table1[[#This Row],[RC Date]]-Table1[[#This Row],[Posting Date]],""),"")</f>
        <v>35</v>
      </c>
      <c r="N835">
        <f>IFERROR(IF(Table1[[#This Row],[Balance Due (LC)]]&lt;&gt;0,$S$1-L835,0),"")</f>
        <v>0</v>
      </c>
      <c r="O835">
        <f>IFERROR(IF(Table1[[#This Row],[Type]]="IN",Table1[[#This Row],[C/D (LC)]],IF(Table1[[#This Row],[Type]]="CN",Table1[[#This Row],[C/D (LC)]],"")),"")</f>
        <v>1547.5</v>
      </c>
      <c r="P835" t="str">
        <f>VLOOKUP(Table1[[#This Row],[Cust '#]],ClientInfo!$A:$B,2,0)</f>
        <v>Client_09</v>
      </c>
    </row>
    <row r="836" spans="1:16">
      <c r="A836" t="s">
        <v>115</v>
      </c>
      <c r="B836" t="s">
        <v>10</v>
      </c>
      <c r="C836">
        <v>700000173</v>
      </c>
      <c r="D836" s="1">
        <v>45364</v>
      </c>
      <c r="E836">
        <v>-6809.6</v>
      </c>
      <c r="F836">
        <v>0</v>
      </c>
      <c r="G836">
        <v>700000173</v>
      </c>
      <c r="H836" s="1">
        <v>45364</v>
      </c>
      <c r="I836">
        <f>YEAR(Table1[[#This Row],[Posting Date]])</f>
        <v>2024</v>
      </c>
      <c r="J836">
        <f>MONTH(Table1[[#This Row],[Posting Date]])</f>
        <v>3</v>
      </c>
      <c r="K836" t="str">
        <f>IF(Table1[[#This Row],[Type]]="IN",VLOOKUP(Table1[[#This Row],[Cust '#]],ClientInfo!$A:$D,4,0),"")</f>
        <v/>
      </c>
      <c r="L836" s="1" t="str">
        <f>IF(K836="NET30",Table1[[#This Row],[Posting Date]]+30,IF(K836="NET15",Table1[[#This Row],[Posting Date]]+15,IF(K836="COD",Table1[[#This Row],[Posting Date]],"")))</f>
        <v/>
      </c>
      <c r="M836" s="4" t="str">
        <f>IFERROR(IF(Table1[[#This Row],[Type]]="IN",Table1[[#This Row],[RC Date]]-Table1[[#This Row],[Posting Date]],""),"")</f>
        <v/>
      </c>
      <c r="N836">
        <f>IFERROR(IF(Table1[[#This Row],[Balance Due (LC)]]&lt;&gt;0,$S$1-L836,0),"")</f>
        <v>0</v>
      </c>
      <c r="O836" t="str">
        <f>IFERROR(IF(Table1[[#This Row],[Type]]="IN",Table1[[#This Row],[C/D (LC)]],IF(Table1[[#This Row],[Type]]="CN",Table1[[#This Row],[C/D (LC)]],"")),"")</f>
        <v/>
      </c>
      <c r="P836" t="str">
        <f>VLOOKUP(Table1[[#This Row],[Cust '#]],ClientInfo!$A:$B,2,0)</f>
        <v>Client_09</v>
      </c>
    </row>
    <row r="837" spans="1:16">
      <c r="A837" t="s">
        <v>115</v>
      </c>
      <c r="B837" t="s">
        <v>12</v>
      </c>
      <c r="C837">
        <v>140005453</v>
      </c>
      <c r="D837" s="1">
        <v>45376</v>
      </c>
      <c r="E837">
        <v>2798</v>
      </c>
      <c r="F837">
        <v>0</v>
      </c>
      <c r="G837">
        <v>700000609</v>
      </c>
      <c r="H837" s="1">
        <v>45422</v>
      </c>
      <c r="I837">
        <f>YEAR(Table1[[#This Row],[Posting Date]])</f>
        <v>2024</v>
      </c>
      <c r="J837">
        <f>MONTH(Table1[[#This Row],[Posting Date]])</f>
        <v>3</v>
      </c>
      <c r="K837" t="str">
        <f>IF(Table1[[#This Row],[Type]]="IN",VLOOKUP(Table1[[#This Row],[Cust '#]],ClientInfo!$A:$D,4,0),"")</f>
        <v>NET30</v>
      </c>
      <c r="L837" s="1">
        <f>IF(K837="NET30",Table1[[#This Row],[Posting Date]]+30,IF(K837="NET15",Table1[[#This Row],[Posting Date]]+15,IF(K837="COD",Table1[[#This Row],[Posting Date]],"")))</f>
        <v>45406</v>
      </c>
      <c r="M837" s="4">
        <f>IFERROR(IF(Table1[[#This Row],[Type]]="IN",Table1[[#This Row],[RC Date]]-Table1[[#This Row],[Posting Date]],""),"")</f>
        <v>46</v>
      </c>
      <c r="N837">
        <f>IFERROR(IF(Table1[[#This Row],[Balance Due (LC)]]&lt;&gt;0,$S$1-L837,0),"")</f>
        <v>0</v>
      </c>
      <c r="O837">
        <f>IFERROR(IF(Table1[[#This Row],[Type]]="IN",Table1[[#This Row],[C/D (LC)]],IF(Table1[[#This Row],[Type]]="CN",Table1[[#This Row],[C/D (LC)]],"")),"")</f>
        <v>2798</v>
      </c>
      <c r="P837" t="str">
        <f>VLOOKUP(Table1[[#This Row],[Cust '#]],ClientInfo!$A:$B,2,0)</f>
        <v>Client_09</v>
      </c>
    </row>
    <row r="838" spans="1:16">
      <c r="A838" t="s">
        <v>115</v>
      </c>
      <c r="B838" t="s">
        <v>10</v>
      </c>
      <c r="C838">
        <v>700000306</v>
      </c>
      <c r="D838" s="1">
        <v>45383</v>
      </c>
      <c r="E838">
        <v>-3118</v>
      </c>
      <c r="F838">
        <v>0</v>
      </c>
      <c r="G838">
        <v>700000306</v>
      </c>
      <c r="H838" s="1">
        <v>45383</v>
      </c>
      <c r="I838">
        <f>YEAR(Table1[[#This Row],[Posting Date]])</f>
        <v>2024</v>
      </c>
      <c r="J838">
        <f>MONTH(Table1[[#This Row],[Posting Date]])</f>
        <v>4</v>
      </c>
      <c r="K838" t="str">
        <f>IF(Table1[[#This Row],[Type]]="IN",VLOOKUP(Table1[[#This Row],[Cust '#]],ClientInfo!$A:$D,4,0),"")</f>
        <v/>
      </c>
      <c r="L838" s="1" t="str">
        <f>IF(K838="NET30",Table1[[#This Row],[Posting Date]]+30,IF(K838="NET15",Table1[[#This Row],[Posting Date]]+15,IF(K838="COD",Table1[[#This Row],[Posting Date]],"")))</f>
        <v/>
      </c>
      <c r="M838" s="4" t="str">
        <f>IFERROR(IF(Table1[[#This Row],[Type]]="IN",Table1[[#This Row],[RC Date]]-Table1[[#This Row],[Posting Date]],""),"")</f>
        <v/>
      </c>
      <c r="N838">
        <f>IFERROR(IF(Table1[[#This Row],[Balance Due (LC)]]&lt;&gt;0,$S$1-L838,0),"")</f>
        <v>0</v>
      </c>
      <c r="O838" t="str">
        <f>IFERROR(IF(Table1[[#This Row],[Type]]="IN",Table1[[#This Row],[C/D (LC)]],IF(Table1[[#This Row],[Type]]="CN",Table1[[#This Row],[C/D (LC)]],"")),"")</f>
        <v/>
      </c>
      <c r="P838" t="str">
        <f>VLOOKUP(Table1[[#This Row],[Cust '#]],ClientInfo!$A:$B,2,0)</f>
        <v>Client_09</v>
      </c>
    </row>
    <row r="839" spans="1:16">
      <c r="A839" t="s">
        <v>115</v>
      </c>
      <c r="B839" t="s">
        <v>12</v>
      </c>
      <c r="C839">
        <v>140006106</v>
      </c>
      <c r="D839" s="1">
        <v>45390</v>
      </c>
      <c r="E839">
        <v>1976</v>
      </c>
      <c r="F839">
        <v>0</v>
      </c>
      <c r="G839">
        <v>700000651</v>
      </c>
      <c r="H839" s="1">
        <v>45428</v>
      </c>
      <c r="I839">
        <f>YEAR(Table1[[#This Row],[Posting Date]])</f>
        <v>2024</v>
      </c>
      <c r="J839">
        <f>MONTH(Table1[[#This Row],[Posting Date]])</f>
        <v>4</v>
      </c>
      <c r="K839" t="str">
        <f>IF(Table1[[#This Row],[Type]]="IN",VLOOKUP(Table1[[#This Row],[Cust '#]],ClientInfo!$A:$D,4,0),"")</f>
        <v>NET30</v>
      </c>
      <c r="L839" s="1">
        <f>IF(K839="NET30",Table1[[#This Row],[Posting Date]]+30,IF(K839="NET15",Table1[[#This Row],[Posting Date]]+15,IF(K839="COD",Table1[[#This Row],[Posting Date]],"")))</f>
        <v>45420</v>
      </c>
      <c r="M839" s="4">
        <f>IFERROR(IF(Table1[[#This Row],[Type]]="IN",Table1[[#This Row],[RC Date]]-Table1[[#This Row],[Posting Date]],""),"")</f>
        <v>38</v>
      </c>
      <c r="N839">
        <f>IFERROR(IF(Table1[[#This Row],[Balance Due (LC)]]&lt;&gt;0,$S$1-L839,0),"")</f>
        <v>0</v>
      </c>
      <c r="O839">
        <f>IFERROR(IF(Table1[[#This Row],[Type]]="IN",Table1[[#This Row],[C/D (LC)]],IF(Table1[[#This Row],[Type]]="CN",Table1[[#This Row],[C/D (LC)]],"")),"")</f>
        <v>1976</v>
      </c>
      <c r="P839" t="str">
        <f>VLOOKUP(Table1[[#This Row],[Cust '#]],ClientInfo!$A:$B,2,0)</f>
        <v>Client_09</v>
      </c>
    </row>
    <row r="840" spans="1:16">
      <c r="A840" t="s">
        <v>115</v>
      </c>
      <c r="B840" t="s">
        <v>12</v>
      </c>
      <c r="C840">
        <v>140006436</v>
      </c>
      <c r="D840" s="1">
        <v>45397</v>
      </c>
      <c r="E840">
        <v>1376.4</v>
      </c>
      <c r="F840">
        <v>0</v>
      </c>
      <c r="G840">
        <v>700000651</v>
      </c>
      <c r="H840" s="1">
        <v>45428</v>
      </c>
      <c r="I840">
        <f>YEAR(Table1[[#This Row],[Posting Date]])</f>
        <v>2024</v>
      </c>
      <c r="J840">
        <f>MONTH(Table1[[#This Row],[Posting Date]])</f>
        <v>4</v>
      </c>
      <c r="K840" t="str">
        <f>IF(Table1[[#This Row],[Type]]="IN",VLOOKUP(Table1[[#This Row],[Cust '#]],ClientInfo!$A:$D,4,0),"")</f>
        <v>NET30</v>
      </c>
      <c r="L840" s="1">
        <f>IF(K840="NET30",Table1[[#This Row],[Posting Date]]+30,IF(K840="NET15",Table1[[#This Row],[Posting Date]]+15,IF(K840="COD",Table1[[#This Row],[Posting Date]],"")))</f>
        <v>45427</v>
      </c>
      <c r="M840" s="4">
        <f>IFERROR(IF(Table1[[#This Row],[Type]]="IN",Table1[[#This Row],[RC Date]]-Table1[[#This Row],[Posting Date]],""),"")</f>
        <v>31</v>
      </c>
      <c r="N840">
        <f>IFERROR(IF(Table1[[#This Row],[Balance Due (LC)]]&lt;&gt;0,$S$1-L840,0),"")</f>
        <v>0</v>
      </c>
      <c r="O840">
        <f>IFERROR(IF(Table1[[#This Row],[Type]]="IN",Table1[[#This Row],[C/D (LC)]],IF(Table1[[#This Row],[Type]]="CN",Table1[[#This Row],[C/D (LC)]],"")),"")</f>
        <v>1376.4</v>
      </c>
      <c r="P840" t="str">
        <f>VLOOKUP(Table1[[#This Row],[Cust '#]],ClientInfo!$A:$B,2,0)</f>
        <v>Client_09</v>
      </c>
    </row>
    <row r="841" spans="1:16">
      <c r="A841" t="s">
        <v>115</v>
      </c>
      <c r="B841" t="s">
        <v>10</v>
      </c>
      <c r="C841">
        <v>700000414</v>
      </c>
      <c r="D841" s="1">
        <v>45397</v>
      </c>
      <c r="E841">
        <v>-1547.5</v>
      </c>
      <c r="F841">
        <v>0</v>
      </c>
      <c r="G841">
        <v>700000414</v>
      </c>
      <c r="H841" s="1">
        <v>45397</v>
      </c>
      <c r="I841">
        <f>YEAR(Table1[[#This Row],[Posting Date]])</f>
        <v>2024</v>
      </c>
      <c r="J841">
        <f>MONTH(Table1[[#This Row],[Posting Date]])</f>
        <v>4</v>
      </c>
      <c r="K841" t="str">
        <f>IF(Table1[[#This Row],[Type]]="IN",VLOOKUP(Table1[[#This Row],[Cust '#]],ClientInfo!$A:$D,4,0),"")</f>
        <v/>
      </c>
      <c r="L841" s="1" t="str">
        <f>IF(K841="NET30",Table1[[#This Row],[Posting Date]]+30,IF(K841="NET15",Table1[[#This Row],[Posting Date]]+15,IF(K841="COD",Table1[[#This Row],[Posting Date]],"")))</f>
        <v/>
      </c>
      <c r="M841" s="4" t="str">
        <f>IFERROR(IF(Table1[[#This Row],[Type]]="IN",Table1[[#This Row],[RC Date]]-Table1[[#This Row],[Posting Date]],""),"")</f>
        <v/>
      </c>
      <c r="N841">
        <f>IFERROR(IF(Table1[[#This Row],[Balance Due (LC)]]&lt;&gt;0,$S$1-L841,0),"")</f>
        <v>0</v>
      </c>
      <c r="O841" t="str">
        <f>IFERROR(IF(Table1[[#This Row],[Type]]="IN",Table1[[#This Row],[C/D (LC)]],IF(Table1[[#This Row],[Type]]="CN",Table1[[#This Row],[C/D (LC)]],"")),"")</f>
        <v/>
      </c>
      <c r="P841" t="str">
        <f>VLOOKUP(Table1[[#This Row],[Cust '#]],ClientInfo!$A:$B,2,0)</f>
        <v>Client_09</v>
      </c>
    </row>
    <row r="842" spans="1:16">
      <c r="A842" t="s">
        <v>115</v>
      </c>
      <c r="B842" t="s">
        <v>12</v>
      </c>
      <c r="C842">
        <v>140007089</v>
      </c>
      <c r="D842" s="1">
        <v>45411</v>
      </c>
      <c r="E842">
        <v>1533</v>
      </c>
      <c r="F842">
        <v>0</v>
      </c>
      <c r="G842">
        <v>700000857</v>
      </c>
      <c r="H842" s="1">
        <v>45454</v>
      </c>
      <c r="I842">
        <f>YEAR(Table1[[#This Row],[Posting Date]])</f>
        <v>2024</v>
      </c>
      <c r="J842">
        <f>MONTH(Table1[[#This Row],[Posting Date]])</f>
        <v>4</v>
      </c>
      <c r="K842" t="str">
        <f>IF(Table1[[#This Row],[Type]]="IN",VLOOKUP(Table1[[#This Row],[Cust '#]],ClientInfo!$A:$D,4,0),"")</f>
        <v>NET30</v>
      </c>
      <c r="L842" s="1">
        <f>IF(K842="NET30",Table1[[#This Row],[Posting Date]]+30,IF(K842="NET15",Table1[[#This Row],[Posting Date]]+15,IF(K842="COD",Table1[[#This Row],[Posting Date]],"")))</f>
        <v>45441</v>
      </c>
      <c r="M842" s="4">
        <f>IFERROR(IF(Table1[[#This Row],[Type]]="IN",Table1[[#This Row],[RC Date]]-Table1[[#This Row],[Posting Date]],""),"")</f>
        <v>43</v>
      </c>
      <c r="N842">
        <f>IFERROR(IF(Table1[[#This Row],[Balance Due (LC)]]&lt;&gt;0,$S$1-L842,0),"")</f>
        <v>0</v>
      </c>
      <c r="O842">
        <f>IFERROR(IF(Table1[[#This Row],[Type]]="IN",Table1[[#This Row],[C/D (LC)]],IF(Table1[[#This Row],[Type]]="CN",Table1[[#This Row],[C/D (LC)]],"")),"")</f>
        <v>1533</v>
      </c>
      <c r="P842" t="str">
        <f>VLOOKUP(Table1[[#This Row],[Cust '#]],ClientInfo!$A:$B,2,0)</f>
        <v>Client_09</v>
      </c>
    </row>
    <row r="843" spans="1:16">
      <c r="A843" t="s">
        <v>115</v>
      </c>
      <c r="B843" t="s">
        <v>12</v>
      </c>
      <c r="C843">
        <v>140007427</v>
      </c>
      <c r="D843" s="1">
        <v>45418</v>
      </c>
      <c r="E843">
        <v>729.2</v>
      </c>
      <c r="F843">
        <v>0</v>
      </c>
      <c r="G843">
        <v>700000857</v>
      </c>
      <c r="H843" s="1">
        <v>45454</v>
      </c>
      <c r="I843">
        <f>YEAR(Table1[[#This Row],[Posting Date]])</f>
        <v>2024</v>
      </c>
      <c r="J843">
        <f>MONTH(Table1[[#This Row],[Posting Date]])</f>
        <v>5</v>
      </c>
      <c r="K843" t="str">
        <f>IF(Table1[[#This Row],[Type]]="IN",VLOOKUP(Table1[[#This Row],[Cust '#]],ClientInfo!$A:$D,4,0),"")</f>
        <v>NET30</v>
      </c>
      <c r="L843" s="1">
        <f>IF(K843="NET30",Table1[[#This Row],[Posting Date]]+30,IF(K843="NET15",Table1[[#This Row],[Posting Date]]+15,IF(K843="COD",Table1[[#This Row],[Posting Date]],"")))</f>
        <v>45448</v>
      </c>
      <c r="M843" s="4">
        <f>IFERROR(IF(Table1[[#This Row],[Type]]="IN",Table1[[#This Row],[RC Date]]-Table1[[#This Row],[Posting Date]],""),"")</f>
        <v>36</v>
      </c>
      <c r="N843">
        <f>IFERROR(IF(Table1[[#This Row],[Balance Due (LC)]]&lt;&gt;0,$S$1-L843,0),"")</f>
        <v>0</v>
      </c>
      <c r="O843">
        <f>IFERROR(IF(Table1[[#This Row],[Type]]="IN",Table1[[#This Row],[C/D (LC)]],IF(Table1[[#This Row],[Type]]="CN",Table1[[#This Row],[C/D (LC)]],"")),"")</f>
        <v>729.2</v>
      </c>
      <c r="P843" t="str">
        <f>VLOOKUP(Table1[[#This Row],[Cust '#]],ClientInfo!$A:$B,2,0)</f>
        <v>Client_09</v>
      </c>
    </row>
    <row r="844" spans="1:16">
      <c r="A844" t="s">
        <v>115</v>
      </c>
      <c r="B844" t="s">
        <v>10</v>
      </c>
      <c r="C844">
        <v>700000609</v>
      </c>
      <c r="D844" s="1">
        <v>45422</v>
      </c>
      <c r="E844">
        <v>-2798</v>
      </c>
      <c r="F844">
        <v>0</v>
      </c>
      <c r="G844">
        <v>700000609</v>
      </c>
      <c r="H844" s="1">
        <v>45422</v>
      </c>
      <c r="I844">
        <f>YEAR(Table1[[#This Row],[Posting Date]])</f>
        <v>2024</v>
      </c>
      <c r="J844">
        <f>MONTH(Table1[[#This Row],[Posting Date]])</f>
        <v>5</v>
      </c>
      <c r="K844" t="str">
        <f>IF(Table1[[#This Row],[Type]]="IN",VLOOKUP(Table1[[#This Row],[Cust '#]],ClientInfo!$A:$D,4,0),"")</f>
        <v/>
      </c>
      <c r="L844" s="1" t="str">
        <f>IF(K844="NET30",Table1[[#This Row],[Posting Date]]+30,IF(K844="NET15",Table1[[#This Row],[Posting Date]]+15,IF(K844="COD",Table1[[#This Row],[Posting Date]],"")))</f>
        <v/>
      </c>
      <c r="M844" s="4" t="str">
        <f>IFERROR(IF(Table1[[#This Row],[Type]]="IN",Table1[[#This Row],[RC Date]]-Table1[[#This Row],[Posting Date]],""),"")</f>
        <v/>
      </c>
      <c r="N844">
        <f>IFERROR(IF(Table1[[#This Row],[Balance Due (LC)]]&lt;&gt;0,$S$1-L844,0),"")</f>
        <v>0</v>
      </c>
      <c r="O844" t="str">
        <f>IFERROR(IF(Table1[[#This Row],[Type]]="IN",Table1[[#This Row],[C/D (LC)]],IF(Table1[[#This Row],[Type]]="CN",Table1[[#This Row],[C/D (LC)]],"")),"")</f>
        <v/>
      </c>
      <c r="P844" t="str">
        <f>VLOOKUP(Table1[[#This Row],[Cust '#]],ClientInfo!$A:$B,2,0)</f>
        <v>Client_09</v>
      </c>
    </row>
    <row r="845" spans="1:16">
      <c r="A845" t="s">
        <v>115</v>
      </c>
      <c r="B845" t="s">
        <v>10</v>
      </c>
      <c r="C845">
        <v>700000651</v>
      </c>
      <c r="D845" s="1">
        <v>45428</v>
      </c>
      <c r="E845">
        <v>-3352.4</v>
      </c>
      <c r="F845">
        <v>0</v>
      </c>
      <c r="G845">
        <v>700000651</v>
      </c>
      <c r="H845" s="1">
        <v>45428</v>
      </c>
      <c r="I845">
        <f>YEAR(Table1[[#This Row],[Posting Date]])</f>
        <v>2024</v>
      </c>
      <c r="J845">
        <f>MONTH(Table1[[#This Row],[Posting Date]])</f>
        <v>5</v>
      </c>
      <c r="K845" t="str">
        <f>IF(Table1[[#This Row],[Type]]="IN",VLOOKUP(Table1[[#This Row],[Cust '#]],ClientInfo!$A:$D,4,0),"")</f>
        <v/>
      </c>
      <c r="L845" s="1" t="str">
        <f>IF(K845="NET30",Table1[[#This Row],[Posting Date]]+30,IF(K845="NET15",Table1[[#This Row],[Posting Date]]+15,IF(K845="COD",Table1[[#This Row],[Posting Date]],"")))</f>
        <v/>
      </c>
      <c r="M845" s="4" t="str">
        <f>IFERROR(IF(Table1[[#This Row],[Type]]="IN",Table1[[#This Row],[RC Date]]-Table1[[#This Row],[Posting Date]],""),"")</f>
        <v/>
      </c>
      <c r="N845">
        <f>IFERROR(IF(Table1[[#This Row],[Balance Due (LC)]]&lt;&gt;0,$S$1-L845,0),"")</f>
        <v>0</v>
      </c>
      <c r="O845" t="str">
        <f>IFERROR(IF(Table1[[#This Row],[Type]]="IN",Table1[[#This Row],[C/D (LC)]],IF(Table1[[#This Row],[Type]]="CN",Table1[[#This Row],[C/D (LC)]],"")),"")</f>
        <v/>
      </c>
      <c r="P845" t="str">
        <f>VLOOKUP(Table1[[#This Row],[Cust '#]],ClientInfo!$A:$B,2,0)</f>
        <v>Client_09</v>
      </c>
    </row>
    <row r="846" spans="1:16">
      <c r="A846" t="s">
        <v>115</v>
      </c>
      <c r="B846" t="s">
        <v>12</v>
      </c>
      <c r="C846">
        <v>140008059</v>
      </c>
      <c r="D846" s="1">
        <v>45432</v>
      </c>
      <c r="E846">
        <v>4098.2</v>
      </c>
      <c r="F846">
        <v>0</v>
      </c>
      <c r="G846">
        <v>700000973</v>
      </c>
      <c r="H846" s="1">
        <v>45470</v>
      </c>
      <c r="I846">
        <f>YEAR(Table1[[#This Row],[Posting Date]])</f>
        <v>2024</v>
      </c>
      <c r="J846">
        <f>MONTH(Table1[[#This Row],[Posting Date]])</f>
        <v>5</v>
      </c>
      <c r="K846" t="str">
        <f>IF(Table1[[#This Row],[Type]]="IN",VLOOKUP(Table1[[#This Row],[Cust '#]],ClientInfo!$A:$D,4,0),"")</f>
        <v>NET30</v>
      </c>
      <c r="L846" s="1">
        <f>IF(K846="NET30",Table1[[#This Row],[Posting Date]]+30,IF(K846="NET15",Table1[[#This Row],[Posting Date]]+15,IF(K846="COD",Table1[[#This Row],[Posting Date]],"")))</f>
        <v>45462</v>
      </c>
      <c r="M846" s="4">
        <f>IFERROR(IF(Table1[[#This Row],[Type]]="IN",Table1[[#This Row],[RC Date]]-Table1[[#This Row],[Posting Date]],""),"")</f>
        <v>38</v>
      </c>
      <c r="N846">
        <f>IFERROR(IF(Table1[[#This Row],[Balance Due (LC)]]&lt;&gt;0,$S$1-L846,0),"")</f>
        <v>0</v>
      </c>
      <c r="O846">
        <f>IFERROR(IF(Table1[[#This Row],[Type]]="IN",Table1[[#This Row],[C/D (LC)]],IF(Table1[[#This Row],[Type]]="CN",Table1[[#This Row],[C/D (LC)]],"")),"")</f>
        <v>4098.2</v>
      </c>
      <c r="P846" t="str">
        <f>VLOOKUP(Table1[[#This Row],[Cust '#]],ClientInfo!$A:$B,2,0)</f>
        <v>Client_09</v>
      </c>
    </row>
    <row r="847" spans="1:16">
      <c r="A847" t="s">
        <v>115</v>
      </c>
      <c r="B847" t="s">
        <v>12</v>
      </c>
      <c r="C847">
        <v>140008722</v>
      </c>
      <c r="D847" s="1">
        <v>45446</v>
      </c>
      <c r="E847">
        <v>1000.5</v>
      </c>
      <c r="F847">
        <v>0</v>
      </c>
      <c r="G847">
        <v>700001185</v>
      </c>
      <c r="H847" s="1">
        <v>45496</v>
      </c>
      <c r="I847">
        <f>YEAR(Table1[[#This Row],[Posting Date]])</f>
        <v>2024</v>
      </c>
      <c r="J847">
        <f>MONTH(Table1[[#This Row],[Posting Date]])</f>
        <v>6</v>
      </c>
      <c r="K847" t="str">
        <f>IF(Table1[[#This Row],[Type]]="IN",VLOOKUP(Table1[[#This Row],[Cust '#]],ClientInfo!$A:$D,4,0),"")</f>
        <v>NET30</v>
      </c>
      <c r="L847" s="1">
        <f>IF(K847="NET30",Table1[[#This Row],[Posting Date]]+30,IF(K847="NET15",Table1[[#This Row],[Posting Date]]+15,IF(K847="COD",Table1[[#This Row],[Posting Date]],"")))</f>
        <v>45476</v>
      </c>
      <c r="M847" s="4">
        <f>IFERROR(IF(Table1[[#This Row],[Type]]="IN",Table1[[#This Row],[RC Date]]-Table1[[#This Row],[Posting Date]],""),"")</f>
        <v>50</v>
      </c>
      <c r="N847">
        <f>IFERROR(IF(Table1[[#This Row],[Balance Due (LC)]]&lt;&gt;0,$S$1-L847,0),"")</f>
        <v>0</v>
      </c>
      <c r="O847">
        <f>IFERROR(IF(Table1[[#This Row],[Type]]="IN",Table1[[#This Row],[C/D (LC)]],IF(Table1[[#This Row],[Type]]="CN",Table1[[#This Row],[C/D (LC)]],"")),"")</f>
        <v>1000.5</v>
      </c>
      <c r="P847" t="str">
        <f>VLOOKUP(Table1[[#This Row],[Cust '#]],ClientInfo!$A:$B,2,0)</f>
        <v>Client_09</v>
      </c>
    </row>
    <row r="848" spans="1:16">
      <c r="A848" t="s">
        <v>115</v>
      </c>
      <c r="B848" t="s">
        <v>10</v>
      </c>
      <c r="C848">
        <v>700000857</v>
      </c>
      <c r="D848" s="1">
        <v>45454</v>
      </c>
      <c r="E848">
        <v>-2136.1999999999998</v>
      </c>
      <c r="F848">
        <v>0</v>
      </c>
      <c r="G848">
        <v>700000857</v>
      </c>
      <c r="H848" s="1">
        <v>45454</v>
      </c>
      <c r="I848">
        <f>YEAR(Table1[[#This Row],[Posting Date]])</f>
        <v>2024</v>
      </c>
      <c r="J848">
        <f>MONTH(Table1[[#This Row],[Posting Date]])</f>
        <v>6</v>
      </c>
      <c r="K848" t="str">
        <f>IF(Table1[[#This Row],[Type]]="IN",VLOOKUP(Table1[[#This Row],[Cust '#]],ClientInfo!$A:$D,4,0),"")</f>
        <v/>
      </c>
      <c r="L848" s="1" t="str">
        <f>IF(K848="NET30",Table1[[#This Row],[Posting Date]]+30,IF(K848="NET15",Table1[[#This Row],[Posting Date]]+15,IF(K848="COD",Table1[[#This Row],[Posting Date]],"")))</f>
        <v/>
      </c>
      <c r="M848" s="4" t="str">
        <f>IFERROR(IF(Table1[[#This Row],[Type]]="IN",Table1[[#This Row],[RC Date]]-Table1[[#This Row],[Posting Date]],""),"")</f>
        <v/>
      </c>
      <c r="N848">
        <f>IFERROR(IF(Table1[[#This Row],[Balance Due (LC)]]&lt;&gt;0,$S$1-L848,0),"")</f>
        <v>0</v>
      </c>
      <c r="O848" t="str">
        <f>IFERROR(IF(Table1[[#This Row],[Type]]="IN",Table1[[#This Row],[C/D (LC)]],IF(Table1[[#This Row],[Type]]="CN",Table1[[#This Row],[C/D (LC)]],"")),"")</f>
        <v/>
      </c>
      <c r="P848" t="str">
        <f>VLOOKUP(Table1[[#This Row],[Cust '#]],ClientInfo!$A:$B,2,0)</f>
        <v>Client_09</v>
      </c>
    </row>
    <row r="849" spans="1:16">
      <c r="A849" t="s">
        <v>115</v>
      </c>
      <c r="B849" t="s">
        <v>12</v>
      </c>
      <c r="C849">
        <v>140009211</v>
      </c>
      <c r="D849" s="1">
        <v>45456</v>
      </c>
      <c r="E849">
        <v>2657.6</v>
      </c>
      <c r="F849">
        <v>0</v>
      </c>
      <c r="G849">
        <v>700001185</v>
      </c>
      <c r="H849" s="1">
        <v>45496</v>
      </c>
      <c r="I849">
        <f>YEAR(Table1[[#This Row],[Posting Date]])</f>
        <v>2024</v>
      </c>
      <c r="J849">
        <f>MONTH(Table1[[#This Row],[Posting Date]])</f>
        <v>6</v>
      </c>
      <c r="K849" t="str">
        <f>IF(Table1[[#This Row],[Type]]="IN",VLOOKUP(Table1[[#This Row],[Cust '#]],ClientInfo!$A:$D,4,0),"")</f>
        <v>NET30</v>
      </c>
      <c r="L849" s="1">
        <f>IF(K849="NET30",Table1[[#This Row],[Posting Date]]+30,IF(K849="NET15",Table1[[#This Row],[Posting Date]]+15,IF(K849="COD",Table1[[#This Row],[Posting Date]],"")))</f>
        <v>45486</v>
      </c>
      <c r="M849" s="4">
        <f>IFERROR(IF(Table1[[#This Row],[Type]]="IN",Table1[[#This Row],[RC Date]]-Table1[[#This Row],[Posting Date]],""),"")</f>
        <v>40</v>
      </c>
      <c r="N849">
        <f>IFERROR(IF(Table1[[#This Row],[Balance Due (LC)]]&lt;&gt;0,$S$1-L849,0),"")</f>
        <v>0</v>
      </c>
      <c r="O849">
        <f>IFERROR(IF(Table1[[#This Row],[Type]]="IN",Table1[[#This Row],[C/D (LC)]],IF(Table1[[#This Row],[Type]]="CN",Table1[[#This Row],[C/D (LC)]],"")),"")</f>
        <v>2657.6</v>
      </c>
      <c r="P849" t="str">
        <f>VLOOKUP(Table1[[#This Row],[Cust '#]],ClientInfo!$A:$B,2,0)</f>
        <v>Client_09</v>
      </c>
    </row>
    <row r="850" spans="1:16">
      <c r="A850" t="s">
        <v>115</v>
      </c>
      <c r="B850" t="s">
        <v>10</v>
      </c>
      <c r="C850">
        <v>700000973</v>
      </c>
      <c r="D850" s="1">
        <v>45470</v>
      </c>
      <c r="E850">
        <v>-4098.2</v>
      </c>
      <c r="F850">
        <v>0</v>
      </c>
      <c r="G850">
        <v>700000973</v>
      </c>
      <c r="H850" s="1">
        <v>45470</v>
      </c>
      <c r="I850">
        <f>YEAR(Table1[[#This Row],[Posting Date]])</f>
        <v>2024</v>
      </c>
      <c r="J850">
        <f>MONTH(Table1[[#This Row],[Posting Date]])</f>
        <v>6</v>
      </c>
      <c r="K850" t="str">
        <f>IF(Table1[[#This Row],[Type]]="IN",VLOOKUP(Table1[[#This Row],[Cust '#]],ClientInfo!$A:$D,4,0),"")</f>
        <v/>
      </c>
      <c r="L850" s="1" t="str">
        <f>IF(K850="NET30",Table1[[#This Row],[Posting Date]]+30,IF(K850="NET15",Table1[[#This Row],[Posting Date]]+15,IF(K850="COD",Table1[[#This Row],[Posting Date]],"")))</f>
        <v/>
      </c>
      <c r="M850" s="4" t="str">
        <f>IFERROR(IF(Table1[[#This Row],[Type]]="IN",Table1[[#This Row],[RC Date]]-Table1[[#This Row],[Posting Date]],""),"")</f>
        <v/>
      </c>
      <c r="N850">
        <f>IFERROR(IF(Table1[[#This Row],[Balance Due (LC)]]&lt;&gt;0,$S$1-L850,0),"")</f>
        <v>0</v>
      </c>
      <c r="O850" t="str">
        <f>IFERROR(IF(Table1[[#This Row],[Type]]="IN",Table1[[#This Row],[C/D (LC)]],IF(Table1[[#This Row],[Type]]="CN",Table1[[#This Row],[C/D (LC)]],"")),"")</f>
        <v/>
      </c>
      <c r="P850" t="str">
        <f>VLOOKUP(Table1[[#This Row],[Cust '#]],ClientInfo!$A:$B,2,0)</f>
        <v>Client_09</v>
      </c>
    </row>
    <row r="851" spans="1:16">
      <c r="A851" t="s">
        <v>115</v>
      </c>
      <c r="B851" t="s">
        <v>12</v>
      </c>
      <c r="C851">
        <v>140009991</v>
      </c>
      <c r="D851" s="1">
        <v>45474</v>
      </c>
      <c r="E851">
        <v>4618.3999999999996</v>
      </c>
      <c r="F851">
        <v>0</v>
      </c>
      <c r="G851">
        <v>700001397</v>
      </c>
      <c r="H851" s="1">
        <v>45525</v>
      </c>
      <c r="I851">
        <f>YEAR(Table1[[#This Row],[Posting Date]])</f>
        <v>2024</v>
      </c>
      <c r="J851">
        <f>MONTH(Table1[[#This Row],[Posting Date]])</f>
        <v>7</v>
      </c>
      <c r="K851" t="str">
        <f>IF(Table1[[#This Row],[Type]]="IN",VLOOKUP(Table1[[#This Row],[Cust '#]],ClientInfo!$A:$D,4,0),"")</f>
        <v>NET30</v>
      </c>
      <c r="L851" s="1">
        <f>IF(K851="NET30",Table1[[#This Row],[Posting Date]]+30,IF(K851="NET15",Table1[[#This Row],[Posting Date]]+15,IF(K851="COD",Table1[[#This Row],[Posting Date]],"")))</f>
        <v>45504</v>
      </c>
      <c r="M851" s="4">
        <f>IFERROR(IF(Table1[[#This Row],[Type]]="IN",Table1[[#This Row],[RC Date]]-Table1[[#This Row],[Posting Date]],""),"")</f>
        <v>51</v>
      </c>
      <c r="N851">
        <f>IFERROR(IF(Table1[[#This Row],[Balance Due (LC)]]&lt;&gt;0,$S$1-L851,0),"")</f>
        <v>0</v>
      </c>
      <c r="O851">
        <f>IFERROR(IF(Table1[[#This Row],[Type]]="IN",Table1[[#This Row],[C/D (LC)]],IF(Table1[[#This Row],[Type]]="CN",Table1[[#This Row],[C/D (LC)]],"")),"")</f>
        <v>4618.3999999999996</v>
      </c>
      <c r="P851" t="str">
        <f>VLOOKUP(Table1[[#This Row],[Cust '#]],ClientInfo!$A:$B,2,0)</f>
        <v>Client_09</v>
      </c>
    </row>
    <row r="852" spans="1:16">
      <c r="A852" t="s">
        <v>115</v>
      </c>
      <c r="B852" t="s">
        <v>13</v>
      </c>
      <c r="C852">
        <v>150000447</v>
      </c>
      <c r="D852" s="1">
        <v>45485</v>
      </c>
      <c r="E852">
        <v>-918</v>
      </c>
      <c r="F852">
        <v>0</v>
      </c>
      <c r="G852">
        <v>150000447</v>
      </c>
      <c r="H852" s="1">
        <v>45485</v>
      </c>
      <c r="I852">
        <f>YEAR(Table1[[#This Row],[Posting Date]])</f>
        <v>2024</v>
      </c>
      <c r="J852">
        <f>MONTH(Table1[[#This Row],[Posting Date]])</f>
        <v>7</v>
      </c>
      <c r="K852" t="str">
        <f>IF(Table1[[#This Row],[Type]]="IN",VLOOKUP(Table1[[#This Row],[Cust '#]],ClientInfo!$A:$D,4,0),"")</f>
        <v/>
      </c>
      <c r="L852" s="1" t="str">
        <f>IF(K852="NET30",Table1[[#This Row],[Posting Date]]+30,IF(K852="NET15",Table1[[#This Row],[Posting Date]]+15,IF(K852="COD",Table1[[#This Row],[Posting Date]],"")))</f>
        <v/>
      </c>
      <c r="M852" s="4" t="str">
        <f>IFERROR(IF(Table1[[#This Row],[Type]]="IN",Table1[[#This Row],[RC Date]]-Table1[[#This Row],[Posting Date]],""),"")</f>
        <v/>
      </c>
      <c r="N852">
        <f>IFERROR(IF(Table1[[#This Row],[Balance Due (LC)]]&lt;&gt;0,$S$1-L852,0),"")</f>
        <v>0</v>
      </c>
      <c r="O852">
        <f>IFERROR(IF(Table1[[#This Row],[Type]]="IN",Table1[[#This Row],[C/D (LC)]],IF(Table1[[#This Row],[Type]]="CN",Table1[[#This Row],[C/D (LC)]],"")),"")</f>
        <v>-918</v>
      </c>
      <c r="P852" t="str">
        <f>VLOOKUP(Table1[[#This Row],[Cust '#]],ClientInfo!$A:$B,2,0)</f>
        <v>Client_09</v>
      </c>
    </row>
    <row r="853" spans="1:16">
      <c r="A853" t="s">
        <v>115</v>
      </c>
      <c r="B853" t="s">
        <v>12</v>
      </c>
      <c r="C853">
        <v>140010616</v>
      </c>
      <c r="D853" s="1">
        <v>45488</v>
      </c>
      <c r="E853">
        <v>2248</v>
      </c>
      <c r="F853">
        <v>0</v>
      </c>
      <c r="G853">
        <v>700001397</v>
      </c>
      <c r="H853" s="1">
        <v>45525</v>
      </c>
      <c r="I853">
        <f>YEAR(Table1[[#This Row],[Posting Date]])</f>
        <v>2024</v>
      </c>
      <c r="J853">
        <f>MONTH(Table1[[#This Row],[Posting Date]])</f>
        <v>7</v>
      </c>
      <c r="K853" t="str">
        <f>IF(Table1[[#This Row],[Type]]="IN",VLOOKUP(Table1[[#This Row],[Cust '#]],ClientInfo!$A:$D,4,0),"")</f>
        <v>NET30</v>
      </c>
      <c r="L853" s="1">
        <f>IF(K853="NET30",Table1[[#This Row],[Posting Date]]+30,IF(K853="NET15",Table1[[#This Row],[Posting Date]]+15,IF(K853="COD",Table1[[#This Row],[Posting Date]],"")))</f>
        <v>45518</v>
      </c>
      <c r="M853" s="4">
        <f>IFERROR(IF(Table1[[#This Row],[Type]]="IN",Table1[[#This Row],[RC Date]]-Table1[[#This Row],[Posting Date]],""),"")</f>
        <v>37</v>
      </c>
      <c r="N853">
        <f>IFERROR(IF(Table1[[#This Row],[Balance Due (LC)]]&lt;&gt;0,$S$1-L853,0),"")</f>
        <v>0</v>
      </c>
      <c r="O853">
        <f>IFERROR(IF(Table1[[#This Row],[Type]]="IN",Table1[[#This Row],[C/D (LC)]],IF(Table1[[#This Row],[Type]]="CN",Table1[[#This Row],[C/D (LC)]],"")),"")</f>
        <v>2248</v>
      </c>
      <c r="P853" t="str">
        <f>VLOOKUP(Table1[[#This Row],[Cust '#]],ClientInfo!$A:$B,2,0)</f>
        <v>Client_09</v>
      </c>
    </row>
    <row r="854" spans="1:16">
      <c r="A854" t="s">
        <v>115</v>
      </c>
      <c r="B854" t="s">
        <v>12</v>
      </c>
      <c r="C854">
        <v>140010930</v>
      </c>
      <c r="D854" s="1">
        <v>45495</v>
      </c>
      <c r="E854">
        <v>2590.75</v>
      </c>
      <c r="F854">
        <v>0</v>
      </c>
      <c r="G854">
        <v>700001596</v>
      </c>
      <c r="H854" s="1">
        <v>45552</v>
      </c>
      <c r="I854">
        <f>YEAR(Table1[[#This Row],[Posting Date]])</f>
        <v>2024</v>
      </c>
      <c r="J854">
        <f>MONTH(Table1[[#This Row],[Posting Date]])</f>
        <v>7</v>
      </c>
      <c r="K854" t="str">
        <f>IF(Table1[[#This Row],[Type]]="IN",VLOOKUP(Table1[[#This Row],[Cust '#]],ClientInfo!$A:$D,4,0),"")</f>
        <v>NET30</v>
      </c>
      <c r="L854" s="1">
        <f>IF(K854="NET30",Table1[[#This Row],[Posting Date]]+30,IF(K854="NET15",Table1[[#This Row],[Posting Date]]+15,IF(K854="COD",Table1[[#This Row],[Posting Date]],"")))</f>
        <v>45525</v>
      </c>
      <c r="M854" s="4">
        <f>IFERROR(IF(Table1[[#This Row],[Type]]="IN",Table1[[#This Row],[RC Date]]-Table1[[#This Row],[Posting Date]],""),"")</f>
        <v>57</v>
      </c>
      <c r="N854">
        <f>IFERROR(IF(Table1[[#This Row],[Balance Due (LC)]]&lt;&gt;0,$S$1-L854,0),"")</f>
        <v>0</v>
      </c>
      <c r="O854">
        <f>IFERROR(IF(Table1[[#This Row],[Type]]="IN",Table1[[#This Row],[C/D (LC)]],IF(Table1[[#This Row],[Type]]="CN",Table1[[#This Row],[C/D (LC)]],"")),"")</f>
        <v>2590.75</v>
      </c>
      <c r="P854" t="str">
        <f>VLOOKUP(Table1[[#This Row],[Cust '#]],ClientInfo!$A:$B,2,0)</f>
        <v>Client_09</v>
      </c>
    </row>
    <row r="855" spans="1:16">
      <c r="A855" t="s">
        <v>115</v>
      </c>
      <c r="B855" t="s">
        <v>10</v>
      </c>
      <c r="C855">
        <v>700001185</v>
      </c>
      <c r="D855" s="1">
        <v>45496</v>
      </c>
      <c r="E855">
        <v>-3658.1</v>
      </c>
      <c r="F855">
        <v>0</v>
      </c>
      <c r="G855">
        <v>700001185</v>
      </c>
      <c r="H855" s="1">
        <v>45496</v>
      </c>
      <c r="I855">
        <f>YEAR(Table1[[#This Row],[Posting Date]])</f>
        <v>2024</v>
      </c>
      <c r="J855">
        <f>MONTH(Table1[[#This Row],[Posting Date]])</f>
        <v>7</v>
      </c>
      <c r="K855" t="str">
        <f>IF(Table1[[#This Row],[Type]]="IN",VLOOKUP(Table1[[#This Row],[Cust '#]],ClientInfo!$A:$D,4,0),"")</f>
        <v/>
      </c>
      <c r="L855" s="1" t="str">
        <f>IF(K855="NET30",Table1[[#This Row],[Posting Date]]+30,IF(K855="NET15",Table1[[#This Row],[Posting Date]]+15,IF(K855="COD",Table1[[#This Row],[Posting Date]],"")))</f>
        <v/>
      </c>
      <c r="M855" s="4" t="str">
        <f>IFERROR(IF(Table1[[#This Row],[Type]]="IN",Table1[[#This Row],[RC Date]]-Table1[[#This Row],[Posting Date]],""),"")</f>
        <v/>
      </c>
      <c r="N855">
        <f>IFERROR(IF(Table1[[#This Row],[Balance Due (LC)]]&lt;&gt;0,$S$1-L855,0),"")</f>
        <v>0</v>
      </c>
      <c r="O855" t="str">
        <f>IFERROR(IF(Table1[[#This Row],[Type]]="IN",Table1[[#This Row],[C/D (LC)]],IF(Table1[[#This Row],[Type]]="CN",Table1[[#This Row],[C/D (LC)]],"")),"")</f>
        <v/>
      </c>
      <c r="P855" t="str">
        <f>VLOOKUP(Table1[[#This Row],[Cust '#]],ClientInfo!$A:$B,2,0)</f>
        <v>Client_09</v>
      </c>
    </row>
    <row r="856" spans="1:16">
      <c r="A856" t="s">
        <v>115</v>
      </c>
      <c r="B856" t="s">
        <v>12</v>
      </c>
      <c r="C856">
        <v>140011593</v>
      </c>
      <c r="D856" s="1">
        <v>45509</v>
      </c>
      <c r="E856">
        <v>3931.8</v>
      </c>
      <c r="F856">
        <v>0</v>
      </c>
      <c r="G856">
        <v>700001596</v>
      </c>
      <c r="H856" s="1">
        <v>45552</v>
      </c>
      <c r="I856">
        <f>YEAR(Table1[[#This Row],[Posting Date]])</f>
        <v>2024</v>
      </c>
      <c r="J856">
        <f>MONTH(Table1[[#This Row],[Posting Date]])</f>
        <v>8</v>
      </c>
      <c r="K856" t="str">
        <f>IF(Table1[[#This Row],[Type]]="IN",VLOOKUP(Table1[[#This Row],[Cust '#]],ClientInfo!$A:$D,4,0),"")</f>
        <v>NET30</v>
      </c>
      <c r="L856" s="1">
        <f>IF(K856="NET30",Table1[[#This Row],[Posting Date]]+30,IF(K856="NET15",Table1[[#This Row],[Posting Date]]+15,IF(K856="COD",Table1[[#This Row],[Posting Date]],"")))</f>
        <v>45539</v>
      </c>
      <c r="M856" s="4">
        <f>IFERROR(IF(Table1[[#This Row],[Type]]="IN",Table1[[#This Row],[RC Date]]-Table1[[#This Row],[Posting Date]],""),"")</f>
        <v>43</v>
      </c>
      <c r="N856">
        <f>IFERROR(IF(Table1[[#This Row],[Balance Due (LC)]]&lt;&gt;0,$S$1-L856,0),"")</f>
        <v>0</v>
      </c>
      <c r="O856">
        <f>IFERROR(IF(Table1[[#This Row],[Type]]="IN",Table1[[#This Row],[C/D (LC)]],IF(Table1[[#This Row],[Type]]="CN",Table1[[#This Row],[C/D (LC)]],"")),"")</f>
        <v>3931.8</v>
      </c>
      <c r="P856" t="str">
        <f>VLOOKUP(Table1[[#This Row],[Cust '#]],ClientInfo!$A:$B,2,0)</f>
        <v>Client_09</v>
      </c>
    </row>
    <row r="857" spans="1:16">
      <c r="A857" t="s">
        <v>115</v>
      </c>
      <c r="B857" t="s">
        <v>12</v>
      </c>
      <c r="C857">
        <v>140012181</v>
      </c>
      <c r="D857" s="1">
        <v>45523</v>
      </c>
      <c r="E857">
        <v>2242.8000000000002</v>
      </c>
      <c r="F857">
        <v>0</v>
      </c>
      <c r="G857">
        <v>700001727</v>
      </c>
      <c r="H857" s="1">
        <v>45569</v>
      </c>
      <c r="I857">
        <f>YEAR(Table1[[#This Row],[Posting Date]])</f>
        <v>2024</v>
      </c>
      <c r="J857">
        <f>MONTH(Table1[[#This Row],[Posting Date]])</f>
        <v>8</v>
      </c>
      <c r="K857" t="str">
        <f>IF(Table1[[#This Row],[Type]]="IN",VLOOKUP(Table1[[#This Row],[Cust '#]],ClientInfo!$A:$D,4,0),"")</f>
        <v>NET30</v>
      </c>
      <c r="L857" s="1">
        <f>IF(K857="NET30",Table1[[#This Row],[Posting Date]]+30,IF(K857="NET15",Table1[[#This Row],[Posting Date]]+15,IF(K857="COD",Table1[[#This Row],[Posting Date]],"")))</f>
        <v>45553</v>
      </c>
      <c r="M857" s="4">
        <f>IFERROR(IF(Table1[[#This Row],[Type]]="IN",Table1[[#This Row],[RC Date]]-Table1[[#This Row],[Posting Date]],""),"")</f>
        <v>46</v>
      </c>
      <c r="N857">
        <f>IFERROR(IF(Table1[[#This Row],[Balance Due (LC)]]&lt;&gt;0,$S$1-L857,0),"")</f>
        <v>0</v>
      </c>
      <c r="O857">
        <f>IFERROR(IF(Table1[[#This Row],[Type]]="IN",Table1[[#This Row],[C/D (LC)]],IF(Table1[[#This Row],[Type]]="CN",Table1[[#This Row],[C/D (LC)]],"")),"")</f>
        <v>2242.8000000000002</v>
      </c>
      <c r="P857" t="str">
        <f>VLOOKUP(Table1[[#This Row],[Cust '#]],ClientInfo!$A:$B,2,0)</f>
        <v>Client_09</v>
      </c>
    </row>
    <row r="858" spans="1:16">
      <c r="A858" t="s">
        <v>115</v>
      </c>
      <c r="B858" t="s">
        <v>10</v>
      </c>
      <c r="C858">
        <v>700001397</v>
      </c>
      <c r="D858" s="1">
        <v>45525</v>
      </c>
      <c r="E858">
        <v>-6866.4</v>
      </c>
      <c r="F858">
        <v>0</v>
      </c>
      <c r="G858">
        <v>700001397</v>
      </c>
      <c r="H858" s="1">
        <v>45525</v>
      </c>
      <c r="I858">
        <f>YEAR(Table1[[#This Row],[Posting Date]])</f>
        <v>2024</v>
      </c>
      <c r="J858">
        <f>MONTH(Table1[[#This Row],[Posting Date]])</f>
        <v>8</v>
      </c>
      <c r="K858" t="str">
        <f>IF(Table1[[#This Row],[Type]]="IN",VLOOKUP(Table1[[#This Row],[Cust '#]],ClientInfo!$A:$D,4,0),"")</f>
        <v/>
      </c>
      <c r="L858" s="1" t="str">
        <f>IF(K858="NET30",Table1[[#This Row],[Posting Date]]+30,IF(K858="NET15",Table1[[#This Row],[Posting Date]]+15,IF(K858="COD",Table1[[#This Row],[Posting Date]],"")))</f>
        <v/>
      </c>
      <c r="M858" s="4" t="str">
        <f>IFERROR(IF(Table1[[#This Row],[Type]]="IN",Table1[[#This Row],[RC Date]]-Table1[[#This Row],[Posting Date]],""),"")</f>
        <v/>
      </c>
      <c r="N858">
        <f>IFERROR(IF(Table1[[#This Row],[Balance Due (LC)]]&lt;&gt;0,$S$1-L858,0),"")</f>
        <v>0</v>
      </c>
      <c r="O858" t="str">
        <f>IFERROR(IF(Table1[[#This Row],[Type]]="IN",Table1[[#This Row],[C/D (LC)]],IF(Table1[[#This Row],[Type]]="CN",Table1[[#This Row],[C/D (LC)]],"")),"")</f>
        <v/>
      </c>
      <c r="P858" t="str">
        <f>VLOOKUP(Table1[[#This Row],[Cust '#]],ClientInfo!$A:$B,2,0)</f>
        <v>Client_09</v>
      </c>
    </row>
    <row r="859" spans="1:16">
      <c r="A859" t="s">
        <v>115</v>
      </c>
      <c r="B859" t="s">
        <v>12</v>
      </c>
      <c r="C859">
        <v>140012508</v>
      </c>
      <c r="D859" s="1">
        <v>45530</v>
      </c>
      <c r="E859">
        <v>2462</v>
      </c>
      <c r="F859">
        <v>0</v>
      </c>
      <c r="G859">
        <v>700001857</v>
      </c>
      <c r="H859" s="1">
        <v>45586</v>
      </c>
      <c r="I859">
        <f>YEAR(Table1[[#This Row],[Posting Date]])</f>
        <v>2024</v>
      </c>
      <c r="J859">
        <f>MONTH(Table1[[#This Row],[Posting Date]])</f>
        <v>8</v>
      </c>
      <c r="K859" t="str">
        <f>IF(Table1[[#This Row],[Type]]="IN",VLOOKUP(Table1[[#This Row],[Cust '#]],ClientInfo!$A:$D,4,0),"")</f>
        <v>NET30</v>
      </c>
      <c r="L859" s="1">
        <f>IF(K859="NET30",Table1[[#This Row],[Posting Date]]+30,IF(K859="NET15",Table1[[#This Row],[Posting Date]]+15,IF(K859="COD",Table1[[#This Row],[Posting Date]],"")))</f>
        <v>45560</v>
      </c>
      <c r="M859" s="4">
        <f>IFERROR(IF(Table1[[#This Row],[Type]]="IN",Table1[[#This Row],[RC Date]]-Table1[[#This Row],[Posting Date]],""),"")</f>
        <v>56</v>
      </c>
      <c r="N859">
        <f>IFERROR(IF(Table1[[#This Row],[Balance Due (LC)]]&lt;&gt;0,$S$1-L859,0),"")</f>
        <v>0</v>
      </c>
      <c r="O859">
        <f>IFERROR(IF(Table1[[#This Row],[Type]]="IN",Table1[[#This Row],[C/D (LC)]],IF(Table1[[#This Row],[Type]]="CN",Table1[[#This Row],[C/D (LC)]],"")),"")</f>
        <v>2462</v>
      </c>
      <c r="P859" t="str">
        <f>VLOOKUP(Table1[[#This Row],[Cust '#]],ClientInfo!$A:$B,2,0)</f>
        <v>Client_09</v>
      </c>
    </row>
    <row r="860" spans="1:16">
      <c r="A860" t="s">
        <v>115</v>
      </c>
      <c r="B860" t="s">
        <v>12</v>
      </c>
      <c r="C860">
        <v>140013165</v>
      </c>
      <c r="D860" s="1">
        <v>45544</v>
      </c>
      <c r="E860">
        <v>3497</v>
      </c>
      <c r="F860">
        <v>0</v>
      </c>
      <c r="G860">
        <v>700001947</v>
      </c>
      <c r="H860" s="1">
        <v>45600</v>
      </c>
      <c r="I860">
        <f>YEAR(Table1[[#This Row],[Posting Date]])</f>
        <v>2024</v>
      </c>
      <c r="J860">
        <f>MONTH(Table1[[#This Row],[Posting Date]])</f>
        <v>9</v>
      </c>
      <c r="K860" t="str">
        <f>IF(Table1[[#This Row],[Type]]="IN",VLOOKUP(Table1[[#This Row],[Cust '#]],ClientInfo!$A:$D,4,0),"")</f>
        <v>NET30</v>
      </c>
      <c r="L860" s="1">
        <f>IF(K860="NET30",Table1[[#This Row],[Posting Date]]+30,IF(K860="NET15",Table1[[#This Row],[Posting Date]]+15,IF(K860="COD",Table1[[#This Row],[Posting Date]],"")))</f>
        <v>45574</v>
      </c>
      <c r="M860" s="4">
        <f>IFERROR(IF(Table1[[#This Row],[Type]]="IN",Table1[[#This Row],[RC Date]]-Table1[[#This Row],[Posting Date]],""),"")</f>
        <v>56</v>
      </c>
      <c r="N860">
        <f>IFERROR(IF(Table1[[#This Row],[Balance Due (LC)]]&lt;&gt;0,$S$1-L860,0),"")</f>
        <v>0</v>
      </c>
      <c r="O860">
        <f>IFERROR(IF(Table1[[#This Row],[Type]]="IN",Table1[[#This Row],[C/D (LC)]],IF(Table1[[#This Row],[Type]]="CN",Table1[[#This Row],[C/D (LC)]],"")),"")</f>
        <v>3497</v>
      </c>
      <c r="P860" t="str">
        <f>VLOOKUP(Table1[[#This Row],[Cust '#]],ClientInfo!$A:$B,2,0)</f>
        <v>Client_09</v>
      </c>
    </row>
    <row r="861" spans="1:16">
      <c r="A861" t="s">
        <v>115</v>
      </c>
      <c r="B861" t="s">
        <v>12</v>
      </c>
      <c r="C861">
        <v>140013343</v>
      </c>
      <c r="D861" s="1">
        <v>45547</v>
      </c>
      <c r="E861">
        <v>68</v>
      </c>
      <c r="F861">
        <v>0</v>
      </c>
      <c r="G861">
        <v>700001947</v>
      </c>
      <c r="H861" s="1">
        <v>45600</v>
      </c>
      <c r="I861">
        <f>YEAR(Table1[[#This Row],[Posting Date]])</f>
        <v>2024</v>
      </c>
      <c r="J861">
        <f>MONTH(Table1[[#This Row],[Posting Date]])</f>
        <v>9</v>
      </c>
      <c r="K861" t="str">
        <f>IF(Table1[[#This Row],[Type]]="IN",VLOOKUP(Table1[[#This Row],[Cust '#]],ClientInfo!$A:$D,4,0),"")</f>
        <v>NET30</v>
      </c>
      <c r="L861" s="1">
        <f>IF(K861="NET30",Table1[[#This Row],[Posting Date]]+30,IF(K861="NET15",Table1[[#This Row],[Posting Date]]+15,IF(K861="COD",Table1[[#This Row],[Posting Date]],"")))</f>
        <v>45577</v>
      </c>
      <c r="M861" s="4">
        <f>IFERROR(IF(Table1[[#This Row],[Type]]="IN",Table1[[#This Row],[RC Date]]-Table1[[#This Row],[Posting Date]],""),"")</f>
        <v>53</v>
      </c>
      <c r="N861">
        <f>IFERROR(IF(Table1[[#This Row],[Balance Due (LC)]]&lt;&gt;0,$S$1-L861,0),"")</f>
        <v>0</v>
      </c>
      <c r="O861">
        <f>IFERROR(IF(Table1[[#This Row],[Type]]="IN",Table1[[#This Row],[C/D (LC)]],IF(Table1[[#This Row],[Type]]="CN",Table1[[#This Row],[C/D (LC)]],"")),"")</f>
        <v>68</v>
      </c>
      <c r="P861" t="str">
        <f>VLOOKUP(Table1[[#This Row],[Cust '#]],ClientInfo!$A:$B,2,0)</f>
        <v>Client_09</v>
      </c>
    </row>
    <row r="862" spans="1:16">
      <c r="A862" t="s">
        <v>115</v>
      </c>
      <c r="B862" t="s">
        <v>10</v>
      </c>
      <c r="C862">
        <v>700001596</v>
      </c>
      <c r="D862" s="1">
        <v>45552</v>
      </c>
      <c r="E862">
        <v>-6522.55</v>
      </c>
      <c r="F862">
        <v>0</v>
      </c>
      <c r="G862">
        <v>700001596</v>
      </c>
      <c r="H862" s="1">
        <v>45552</v>
      </c>
      <c r="I862">
        <f>YEAR(Table1[[#This Row],[Posting Date]])</f>
        <v>2024</v>
      </c>
      <c r="J862">
        <f>MONTH(Table1[[#This Row],[Posting Date]])</f>
        <v>9</v>
      </c>
      <c r="K862" t="str">
        <f>IF(Table1[[#This Row],[Type]]="IN",VLOOKUP(Table1[[#This Row],[Cust '#]],ClientInfo!$A:$D,4,0),"")</f>
        <v/>
      </c>
      <c r="L862" s="1" t="str">
        <f>IF(K862="NET30",Table1[[#This Row],[Posting Date]]+30,IF(K862="NET15",Table1[[#This Row],[Posting Date]]+15,IF(K862="COD",Table1[[#This Row],[Posting Date]],"")))</f>
        <v/>
      </c>
      <c r="M862" s="4" t="str">
        <f>IFERROR(IF(Table1[[#This Row],[Type]]="IN",Table1[[#This Row],[RC Date]]-Table1[[#This Row],[Posting Date]],""),"")</f>
        <v/>
      </c>
      <c r="N862">
        <f>IFERROR(IF(Table1[[#This Row],[Balance Due (LC)]]&lt;&gt;0,$S$1-L862,0),"")</f>
        <v>0</v>
      </c>
      <c r="O862" t="str">
        <f>IFERROR(IF(Table1[[#This Row],[Type]]="IN",Table1[[#This Row],[C/D (LC)]],IF(Table1[[#This Row],[Type]]="CN",Table1[[#This Row],[C/D (LC)]],"")),"")</f>
        <v/>
      </c>
      <c r="P862" t="str">
        <f>VLOOKUP(Table1[[#This Row],[Cust '#]],ClientInfo!$A:$B,2,0)</f>
        <v>Client_09</v>
      </c>
    </row>
    <row r="863" spans="1:16">
      <c r="A863" t="s">
        <v>115</v>
      </c>
      <c r="B863" t="s">
        <v>12</v>
      </c>
      <c r="C863">
        <v>140013842</v>
      </c>
      <c r="D863" s="1">
        <v>45558</v>
      </c>
      <c r="E863">
        <v>1995</v>
      </c>
      <c r="F863">
        <v>0</v>
      </c>
      <c r="G863">
        <v>700002024</v>
      </c>
      <c r="H863" s="1">
        <v>45610</v>
      </c>
      <c r="I863">
        <f>YEAR(Table1[[#This Row],[Posting Date]])</f>
        <v>2024</v>
      </c>
      <c r="J863">
        <f>MONTH(Table1[[#This Row],[Posting Date]])</f>
        <v>9</v>
      </c>
      <c r="K863" t="str">
        <f>IF(Table1[[#This Row],[Type]]="IN",VLOOKUP(Table1[[#This Row],[Cust '#]],ClientInfo!$A:$D,4,0),"")</f>
        <v>NET30</v>
      </c>
      <c r="L863" s="1">
        <f>IF(K863="NET30",Table1[[#This Row],[Posting Date]]+30,IF(K863="NET15",Table1[[#This Row],[Posting Date]]+15,IF(K863="COD",Table1[[#This Row],[Posting Date]],"")))</f>
        <v>45588</v>
      </c>
      <c r="M863" s="4">
        <f>IFERROR(IF(Table1[[#This Row],[Type]]="IN",Table1[[#This Row],[RC Date]]-Table1[[#This Row],[Posting Date]],""),"")</f>
        <v>52</v>
      </c>
      <c r="N863">
        <f>IFERROR(IF(Table1[[#This Row],[Balance Due (LC)]]&lt;&gt;0,$S$1-L863,0),"")</f>
        <v>0</v>
      </c>
      <c r="O863">
        <f>IFERROR(IF(Table1[[#This Row],[Type]]="IN",Table1[[#This Row],[C/D (LC)]],IF(Table1[[#This Row],[Type]]="CN",Table1[[#This Row],[C/D (LC)]],"")),"")</f>
        <v>1995</v>
      </c>
      <c r="P863" t="str">
        <f>VLOOKUP(Table1[[#This Row],[Cust '#]],ClientInfo!$A:$B,2,0)</f>
        <v>Client_09</v>
      </c>
    </row>
    <row r="864" spans="1:16">
      <c r="A864" t="s">
        <v>115</v>
      </c>
      <c r="B864" t="s">
        <v>10</v>
      </c>
      <c r="C864">
        <v>700001727</v>
      </c>
      <c r="D864" s="1">
        <v>45569</v>
      </c>
      <c r="E864">
        <v>-2242.8000000000002</v>
      </c>
      <c r="F864">
        <v>0</v>
      </c>
      <c r="G864">
        <v>700001727</v>
      </c>
      <c r="H864" s="1">
        <v>45569</v>
      </c>
      <c r="I864">
        <f>YEAR(Table1[[#This Row],[Posting Date]])</f>
        <v>2024</v>
      </c>
      <c r="J864">
        <f>MONTH(Table1[[#This Row],[Posting Date]])</f>
        <v>10</v>
      </c>
      <c r="K864" t="str">
        <f>IF(Table1[[#This Row],[Type]]="IN",VLOOKUP(Table1[[#This Row],[Cust '#]],ClientInfo!$A:$D,4,0),"")</f>
        <v/>
      </c>
      <c r="L864" s="1" t="str">
        <f>IF(K864="NET30",Table1[[#This Row],[Posting Date]]+30,IF(K864="NET15",Table1[[#This Row],[Posting Date]]+15,IF(K864="COD",Table1[[#This Row],[Posting Date]],"")))</f>
        <v/>
      </c>
      <c r="M864" s="4" t="str">
        <f>IFERROR(IF(Table1[[#This Row],[Type]]="IN",Table1[[#This Row],[RC Date]]-Table1[[#This Row],[Posting Date]],""),"")</f>
        <v/>
      </c>
      <c r="N864">
        <f>IFERROR(IF(Table1[[#This Row],[Balance Due (LC)]]&lt;&gt;0,$S$1-L864,0),"")</f>
        <v>0</v>
      </c>
      <c r="O864" t="str">
        <f>IFERROR(IF(Table1[[#This Row],[Type]]="IN",Table1[[#This Row],[C/D (LC)]],IF(Table1[[#This Row],[Type]]="CN",Table1[[#This Row],[C/D (LC)]],"")),"")</f>
        <v/>
      </c>
      <c r="P864" t="str">
        <f>VLOOKUP(Table1[[#This Row],[Cust '#]],ClientInfo!$A:$B,2,0)</f>
        <v>Client_09</v>
      </c>
    </row>
    <row r="865" spans="1:16">
      <c r="A865" t="s">
        <v>115</v>
      </c>
      <c r="B865" t="s">
        <v>12</v>
      </c>
      <c r="C865">
        <v>140014820</v>
      </c>
      <c r="D865" s="1">
        <v>45579</v>
      </c>
      <c r="E865">
        <v>3230.4</v>
      </c>
      <c r="F865">
        <v>0</v>
      </c>
      <c r="G865">
        <v>700002115</v>
      </c>
      <c r="H865" s="1">
        <v>45623</v>
      </c>
      <c r="I865">
        <f>YEAR(Table1[[#This Row],[Posting Date]])</f>
        <v>2024</v>
      </c>
      <c r="J865">
        <f>MONTH(Table1[[#This Row],[Posting Date]])</f>
        <v>10</v>
      </c>
      <c r="K865" t="str">
        <f>IF(Table1[[#This Row],[Type]]="IN",VLOOKUP(Table1[[#This Row],[Cust '#]],ClientInfo!$A:$D,4,0),"")</f>
        <v>NET30</v>
      </c>
      <c r="L865" s="1">
        <f>IF(K865="NET30",Table1[[#This Row],[Posting Date]]+30,IF(K865="NET15",Table1[[#This Row],[Posting Date]]+15,IF(K865="COD",Table1[[#This Row],[Posting Date]],"")))</f>
        <v>45609</v>
      </c>
      <c r="M865" s="4">
        <f>IFERROR(IF(Table1[[#This Row],[Type]]="IN",Table1[[#This Row],[RC Date]]-Table1[[#This Row],[Posting Date]],""),"")</f>
        <v>44</v>
      </c>
      <c r="N865">
        <f>IFERROR(IF(Table1[[#This Row],[Balance Due (LC)]]&lt;&gt;0,$S$1-L865,0),"")</f>
        <v>0</v>
      </c>
      <c r="O865">
        <f>IFERROR(IF(Table1[[#This Row],[Type]]="IN",Table1[[#This Row],[C/D (LC)]],IF(Table1[[#This Row],[Type]]="CN",Table1[[#This Row],[C/D (LC)]],"")),"")</f>
        <v>3230.4</v>
      </c>
      <c r="P865" t="str">
        <f>VLOOKUP(Table1[[#This Row],[Cust '#]],ClientInfo!$A:$B,2,0)</f>
        <v>Client_09</v>
      </c>
    </row>
    <row r="866" spans="1:16">
      <c r="A866" t="s">
        <v>115</v>
      </c>
      <c r="B866" t="s">
        <v>10</v>
      </c>
      <c r="C866">
        <v>700001857</v>
      </c>
      <c r="D866" s="1">
        <v>45586</v>
      </c>
      <c r="E866">
        <v>-2462</v>
      </c>
      <c r="F866">
        <v>0</v>
      </c>
      <c r="G866">
        <v>700001857</v>
      </c>
      <c r="H866" s="1">
        <v>45586</v>
      </c>
      <c r="I866">
        <f>YEAR(Table1[[#This Row],[Posting Date]])</f>
        <v>2024</v>
      </c>
      <c r="J866">
        <f>MONTH(Table1[[#This Row],[Posting Date]])</f>
        <v>10</v>
      </c>
      <c r="K866" t="str">
        <f>IF(Table1[[#This Row],[Type]]="IN",VLOOKUP(Table1[[#This Row],[Cust '#]],ClientInfo!$A:$D,4,0),"")</f>
        <v/>
      </c>
      <c r="L866" s="1" t="str">
        <f>IF(K866="NET30",Table1[[#This Row],[Posting Date]]+30,IF(K866="NET15",Table1[[#This Row],[Posting Date]]+15,IF(K866="COD",Table1[[#This Row],[Posting Date]],"")))</f>
        <v/>
      </c>
      <c r="M866" s="4" t="str">
        <f>IFERROR(IF(Table1[[#This Row],[Type]]="IN",Table1[[#This Row],[RC Date]]-Table1[[#This Row],[Posting Date]],""),"")</f>
        <v/>
      </c>
      <c r="N866">
        <f>IFERROR(IF(Table1[[#This Row],[Balance Due (LC)]]&lt;&gt;0,$S$1-L866,0),"")</f>
        <v>0</v>
      </c>
      <c r="O866" t="str">
        <f>IFERROR(IF(Table1[[#This Row],[Type]]="IN",Table1[[#This Row],[C/D (LC)]],IF(Table1[[#This Row],[Type]]="CN",Table1[[#This Row],[C/D (LC)]],"")),"")</f>
        <v/>
      </c>
      <c r="P866" t="str">
        <f>VLOOKUP(Table1[[#This Row],[Cust '#]],ClientInfo!$A:$B,2,0)</f>
        <v>Client_09</v>
      </c>
    </row>
    <row r="867" spans="1:16">
      <c r="A867" t="s">
        <v>115</v>
      </c>
      <c r="B867" t="s">
        <v>12</v>
      </c>
      <c r="C867">
        <v>140015250</v>
      </c>
      <c r="D867" s="1">
        <v>45588</v>
      </c>
      <c r="E867">
        <v>591</v>
      </c>
      <c r="F867">
        <v>0</v>
      </c>
      <c r="G867">
        <v>700002115</v>
      </c>
      <c r="H867" s="1">
        <v>45623</v>
      </c>
      <c r="I867">
        <f>YEAR(Table1[[#This Row],[Posting Date]])</f>
        <v>2024</v>
      </c>
      <c r="J867">
        <f>MONTH(Table1[[#This Row],[Posting Date]])</f>
        <v>10</v>
      </c>
      <c r="K867" t="str">
        <f>IF(Table1[[#This Row],[Type]]="IN",VLOOKUP(Table1[[#This Row],[Cust '#]],ClientInfo!$A:$D,4,0),"")</f>
        <v>NET30</v>
      </c>
      <c r="L867" s="1">
        <f>IF(K867="NET30",Table1[[#This Row],[Posting Date]]+30,IF(K867="NET15",Table1[[#This Row],[Posting Date]]+15,IF(K867="COD",Table1[[#This Row],[Posting Date]],"")))</f>
        <v>45618</v>
      </c>
      <c r="M867" s="4">
        <f>IFERROR(IF(Table1[[#This Row],[Type]]="IN",Table1[[#This Row],[RC Date]]-Table1[[#This Row],[Posting Date]],""),"")</f>
        <v>35</v>
      </c>
      <c r="N867">
        <f>IFERROR(IF(Table1[[#This Row],[Balance Due (LC)]]&lt;&gt;0,$S$1-L867,0),"")</f>
        <v>0</v>
      </c>
      <c r="O867">
        <f>IFERROR(IF(Table1[[#This Row],[Type]]="IN",Table1[[#This Row],[C/D (LC)]],IF(Table1[[#This Row],[Type]]="CN",Table1[[#This Row],[C/D (LC)]],"")),"")</f>
        <v>591</v>
      </c>
      <c r="P867" t="str">
        <f>VLOOKUP(Table1[[#This Row],[Cust '#]],ClientInfo!$A:$B,2,0)</f>
        <v>Client_09</v>
      </c>
    </row>
    <row r="868" spans="1:16">
      <c r="A868" t="s">
        <v>115</v>
      </c>
      <c r="B868" t="s">
        <v>10</v>
      </c>
      <c r="C868">
        <v>700001947</v>
      </c>
      <c r="D868" s="1">
        <v>45600</v>
      </c>
      <c r="E868">
        <v>-3565</v>
      </c>
      <c r="F868">
        <v>0</v>
      </c>
      <c r="G868">
        <v>700001947</v>
      </c>
      <c r="H868" s="1">
        <v>45600</v>
      </c>
      <c r="I868">
        <f>YEAR(Table1[[#This Row],[Posting Date]])</f>
        <v>2024</v>
      </c>
      <c r="J868">
        <f>MONTH(Table1[[#This Row],[Posting Date]])</f>
        <v>11</v>
      </c>
      <c r="K868" t="str">
        <f>IF(Table1[[#This Row],[Type]]="IN",VLOOKUP(Table1[[#This Row],[Cust '#]],ClientInfo!$A:$D,4,0),"")</f>
        <v/>
      </c>
      <c r="L868" s="1" t="str">
        <f>IF(K868="NET30",Table1[[#This Row],[Posting Date]]+30,IF(K868="NET15",Table1[[#This Row],[Posting Date]]+15,IF(K868="COD",Table1[[#This Row],[Posting Date]],"")))</f>
        <v/>
      </c>
      <c r="M868" s="4" t="str">
        <f>IFERROR(IF(Table1[[#This Row],[Type]]="IN",Table1[[#This Row],[RC Date]]-Table1[[#This Row],[Posting Date]],""),"")</f>
        <v/>
      </c>
      <c r="N868">
        <f>IFERROR(IF(Table1[[#This Row],[Balance Due (LC)]]&lt;&gt;0,$S$1-L868,0),"")</f>
        <v>0</v>
      </c>
      <c r="O868" t="str">
        <f>IFERROR(IF(Table1[[#This Row],[Type]]="IN",Table1[[#This Row],[C/D (LC)]],IF(Table1[[#This Row],[Type]]="CN",Table1[[#This Row],[C/D (LC)]],"")),"")</f>
        <v/>
      </c>
      <c r="P868" t="str">
        <f>VLOOKUP(Table1[[#This Row],[Cust '#]],ClientInfo!$A:$B,2,0)</f>
        <v>Client_09</v>
      </c>
    </row>
    <row r="869" spans="1:16">
      <c r="A869" t="s">
        <v>115</v>
      </c>
      <c r="B869" t="s">
        <v>12</v>
      </c>
      <c r="C869">
        <v>140016184</v>
      </c>
      <c r="D869" s="1">
        <v>45607</v>
      </c>
      <c r="E869">
        <v>3878</v>
      </c>
      <c r="F869">
        <v>0</v>
      </c>
      <c r="G869">
        <v>700002431</v>
      </c>
      <c r="H869" s="1">
        <v>45663</v>
      </c>
      <c r="I869">
        <f>YEAR(Table1[[#This Row],[Posting Date]])</f>
        <v>2024</v>
      </c>
      <c r="J869">
        <f>MONTH(Table1[[#This Row],[Posting Date]])</f>
        <v>11</v>
      </c>
      <c r="K869" t="str">
        <f>IF(Table1[[#This Row],[Type]]="IN",VLOOKUP(Table1[[#This Row],[Cust '#]],ClientInfo!$A:$D,4,0),"")</f>
        <v>NET30</v>
      </c>
      <c r="L869" s="1">
        <f>IF(K869="NET30",Table1[[#This Row],[Posting Date]]+30,IF(K869="NET15",Table1[[#This Row],[Posting Date]]+15,IF(K869="COD",Table1[[#This Row],[Posting Date]],"")))</f>
        <v>45637</v>
      </c>
      <c r="M869" s="4">
        <f>IFERROR(IF(Table1[[#This Row],[Type]]="IN",Table1[[#This Row],[RC Date]]-Table1[[#This Row],[Posting Date]],""),"")</f>
        <v>56</v>
      </c>
      <c r="N869">
        <f>IFERROR(IF(Table1[[#This Row],[Balance Due (LC)]]&lt;&gt;0,$S$1-L869,0),"")</f>
        <v>0</v>
      </c>
      <c r="O869">
        <f>IFERROR(IF(Table1[[#This Row],[Type]]="IN",Table1[[#This Row],[C/D (LC)]],IF(Table1[[#This Row],[Type]]="CN",Table1[[#This Row],[C/D (LC)]],"")),"")</f>
        <v>3878</v>
      </c>
      <c r="P869" t="str">
        <f>VLOOKUP(Table1[[#This Row],[Cust '#]],ClientInfo!$A:$B,2,0)</f>
        <v>Client_09</v>
      </c>
    </row>
    <row r="870" spans="1:16">
      <c r="A870" t="s">
        <v>115</v>
      </c>
      <c r="B870" t="s">
        <v>12</v>
      </c>
      <c r="C870">
        <v>140016275</v>
      </c>
      <c r="D870" s="1">
        <v>45609</v>
      </c>
      <c r="E870">
        <v>322</v>
      </c>
      <c r="F870">
        <v>0</v>
      </c>
      <c r="G870">
        <v>700002431</v>
      </c>
      <c r="H870" s="1">
        <v>45663</v>
      </c>
      <c r="I870">
        <f>YEAR(Table1[[#This Row],[Posting Date]])</f>
        <v>2024</v>
      </c>
      <c r="J870">
        <f>MONTH(Table1[[#This Row],[Posting Date]])</f>
        <v>11</v>
      </c>
      <c r="K870" t="str">
        <f>IF(Table1[[#This Row],[Type]]="IN",VLOOKUP(Table1[[#This Row],[Cust '#]],ClientInfo!$A:$D,4,0),"")</f>
        <v>NET30</v>
      </c>
      <c r="L870" s="1">
        <f>IF(K870="NET30",Table1[[#This Row],[Posting Date]]+30,IF(K870="NET15",Table1[[#This Row],[Posting Date]]+15,IF(K870="COD",Table1[[#This Row],[Posting Date]],"")))</f>
        <v>45639</v>
      </c>
      <c r="M870" s="4">
        <f>IFERROR(IF(Table1[[#This Row],[Type]]="IN",Table1[[#This Row],[RC Date]]-Table1[[#This Row],[Posting Date]],""),"")</f>
        <v>54</v>
      </c>
      <c r="N870">
        <f>IFERROR(IF(Table1[[#This Row],[Balance Due (LC)]]&lt;&gt;0,$S$1-L870,0),"")</f>
        <v>0</v>
      </c>
      <c r="O870">
        <f>IFERROR(IF(Table1[[#This Row],[Type]]="IN",Table1[[#This Row],[C/D (LC)]],IF(Table1[[#This Row],[Type]]="CN",Table1[[#This Row],[C/D (LC)]],"")),"")</f>
        <v>322</v>
      </c>
      <c r="P870" t="str">
        <f>VLOOKUP(Table1[[#This Row],[Cust '#]],ClientInfo!$A:$B,2,0)</f>
        <v>Client_09</v>
      </c>
    </row>
    <row r="871" spans="1:16">
      <c r="A871" t="s">
        <v>115</v>
      </c>
      <c r="B871" t="s">
        <v>10</v>
      </c>
      <c r="C871">
        <v>700002024</v>
      </c>
      <c r="D871" s="1">
        <v>45610</v>
      </c>
      <c r="E871">
        <v>-1995</v>
      </c>
      <c r="F871">
        <v>0</v>
      </c>
      <c r="G871">
        <v>700002024</v>
      </c>
      <c r="H871" s="1">
        <v>45610</v>
      </c>
      <c r="I871">
        <f>YEAR(Table1[[#This Row],[Posting Date]])</f>
        <v>2024</v>
      </c>
      <c r="J871">
        <f>MONTH(Table1[[#This Row],[Posting Date]])</f>
        <v>11</v>
      </c>
      <c r="K871" t="str">
        <f>IF(Table1[[#This Row],[Type]]="IN",VLOOKUP(Table1[[#This Row],[Cust '#]],ClientInfo!$A:$D,4,0),"")</f>
        <v/>
      </c>
      <c r="L871" s="1" t="str">
        <f>IF(K871="NET30",Table1[[#This Row],[Posting Date]]+30,IF(K871="NET15",Table1[[#This Row],[Posting Date]]+15,IF(K871="COD",Table1[[#This Row],[Posting Date]],"")))</f>
        <v/>
      </c>
      <c r="M871" s="4" t="str">
        <f>IFERROR(IF(Table1[[#This Row],[Type]]="IN",Table1[[#This Row],[RC Date]]-Table1[[#This Row],[Posting Date]],""),"")</f>
        <v/>
      </c>
      <c r="N871">
        <f>IFERROR(IF(Table1[[#This Row],[Balance Due (LC)]]&lt;&gt;0,$S$1-L871,0),"")</f>
        <v>0</v>
      </c>
      <c r="O871" t="str">
        <f>IFERROR(IF(Table1[[#This Row],[Type]]="IN",Table1[[#This Row],[C/D (LC)]],IF(Table1[[#This Row],[Type]]="CN",Table1[[#This Row],[C/D (LC)]],"")),"")</f>
        <v/>
      </c>
      <c r="P871" t="str">
        <f>VLOOKUP(Table1[[#This Row],[Cust '#]],ClientInfo!$A:$B,2,0)</f>
        <v>Client_09</v>
      </c>
    </row>
    <row r="872" spans="1:16">
      <c r="A872" t="s">
        <v>115</v>
      </c>
      <c r="B872" t="s">
        <v>13</v>
      </c>
      <c r="C872">
        <v>150000706</v>
      </c>
      <c r="D872" s="1">
        <v>45610</v>
      </c>
      <c r="E872">
        <v>-308</v>
      </c>
      <c r="F872">
        <v>0</v>
      </c>
      <c r="G872">
        <v>700002431</v>
      </c>
      <c r="H872" s="1">
        <v>45663</v>
      </c>
      <c r="I872">
        <f>YEAR(Table1[[#This Row],[Posting Date]])</f>
        <v>2024</v>
      </c>
      <c r="J872">
        <f>MONTH(Table1[[#This Row],[Posting Date]])</f>
        <v>11</v>
      </c>
      <c r="K872" t="str">
        <f>IF(Table1[[#This Row],[Type]]="IN",VLOOKUP(Table1[[#This Row],[Cust '#]],ClientInfo!$A:$D,4,0),"")</f>
        <v/>
      </c>
      <c r="L872" s="1" t="str">
        <f>IF(K872="NET30",Table1[[#This Row],[Posting Date]]+30,IF(K872="NET15",Table1[[#This Row],[Posting Date]]+15,IF(K872="COD",Table1[[#This Row],[Posting Date]],"")))</f>
        <v/>
      </c>
      <c r="M872" s="4" t="str">
        <f>IFERROR(IF(Table1[[#This Row],[Type]]="IN",Table1[[#This Row],[RC Date]]-Table1[[#This Row],[Posting Date]],""),"")</f>
        <v/>
      </c>
      <c r="N872">
        <f>IFERROR(IF(Table1[[#This Row],[Balance Due (LC)]]&lt;&gt;0,$S$1-L872,0),"")</f>
        <v>0</v>
      </c>
      <c r="O872">
        <f>IFERROR(IF(Table1[[#This Row],[Type]]="IN",Table1[[#This Row],[C/D (LC)]],IF(Table1[[#This Row],[Type]]="CN",Table1[[#This Row],[C/D (LC)]],"")),"")</f>
        <v>-308</v>
      </c>
      <c r="P872" t="str">
        <f>VLOOKUP(Table1[[#This Row],[Cust '#]],ClientInfo!$A:$B,2,0)</f>
        <v>Client_09</v>
      </c>
    </row>
    <row r="873" spans="1:16">
      <c r="A873" t="s">
        <v>115</v>
      </c>
      <c r="B873" t="s">
        <v>12</v>
      </c>
      <c r="C873">
        <v>140016860</v>
      </c>
      <c r="D873" s="1">
        <v>45621</v>
      </c>
      <c r="E873">
        <v>3987.8</v>
      </c>
      <c r="F873">
        <v>0</v>
      </c>
      <c r="G873">
        <v>700002482</v>
      </c>
      <c r="H873" s="1">
        <v>45670</v>
      </c>
      <c r="I873">
        <f>YEAR(Table1[[#This Row],[Posting Date]])</f>
        <v>2024</v>
      </c>
      <c r="J873">
        <f>MONTH(Table1[[#This Row],[Posting Date]])</f>
        <v>11</v>
      </c>
      <c r="K873" t="str">
        <f>IF(Table1[[#This Row],[Type]]="IN",VLOOKUP(Table1[[#This Row],[Cust '#]],ClientInfo!$A:$D,4,0),"")</f>
        <v>NET30</v>
      </c>
      <c r="L873" s="1">
        <f>IF(K873="NET30",Table1[[#This Row],[Posting Date]]+30,IF(K873="NET15",Table1[[#This Row],[Posting Date]]+15,IF(K873="COD",Table1[[#This Row],[Posting Date]],"")))</f>
        <v>45651</v>
      </c>
      <c r="M873" s="4">
        <f>IFERROR(IF(Table1[[#This Row],[Type]]="IN",Table1[[#This Row],[RC Date]]-Table1[[#This Row],[Posting Date]],""),"")</f>
        <v>49</v>
      </c>
      <c r="N873">
        <f>IFERROR(IF(Table1[[#This Row],[Balance Due (LC)]]&lt;&gt;0,$S$1-L873,0),"")</f>
        <v>0</v>
      </c>
      <c r="O873">
        <f>IFERROR(IF(Table1[[#This Row],[Type]]="IN",Table1[[#This Row],[C/D (LC)]],IF(Table1[[#This Row],[Type]]="CN",Table1[[#This Row],[C/D (LC)]],"")),"")</f>
        <v>3987.8</v>
      </c>
      <c r="P873" t="str">
        <f>VLOOKUP(Table1[[#This Row],[Cust '#]],ClientInfo!$A:$B,2,0)</f>
        <v>Client_09</v>
      </c>
    </row>
    <row r="874" spans="1:16">
      <c r="A874" t="s">
        <v>115</v>
      </c>
      <c r="B874" t="s">
        <v>10</v>
      </c>
      <c r="C874">
        <v>700002115</v>
      </c>
      <c r="D874" s="1">
        <v>45623</v>
      </c>
      <c r="E874">
        <v>-3821.4</v>
      </c>
      <c r="F874">
        <v>0</v>
      </c>
      <c r="G874">
        <v>700002115</v>
      </c>
      <c r="H874" s="1">
        <v>45623</v>
      </c>
      <c r="I874">
        <f>YEAR(Table1[[#This Row],[Posting Date]])</f>
        <v>2024</v>
      </c>
      <c r="J874">
        <f>MONTH(Table1[[#This Row],[Posting Date]])</f>
        <v>11</v>
      </c>
      <c r="K874" t="str">
        <f>IF(Table1[[#This Row],[Type]]="IN",VLOOKUP(Table1[[#This Row],[Cust '#]],ClientInfo!$A:$D,4,0),"")</f>
        <v/>
      </c>
      <c r="L874" s="1" t="str">
        <f>IF(K874="NET30",Table1[[#This Row],[Posting Date]]+30,IF(K874="NET15",Table1[[#This Row],[Posting Date]]+15,IF(K874="COD",Table1[[#This Row],[Posting Date]],"")))</f>
        <v/>
      </c>
      <c r="M874" s="4" t="str">
        <f>IFERROR(IF(Table1[[#This Row],[Type]]="IN",Table1[[#This Row],[RC Date]]-Table1[[#This Row],[Posting Date]],""),"")</f>
        <v/>
      </c>
      <c r="N874">
        <f>IFERROR(IF(Table1[[#This Row],[Balance Due (LC)]]&lt;&gt;0,$S$1-L874,0),"")</f>
        <v>0</v>
      </c>
      <c r="O874" t="str">
        <f>IFERROR(IF(Table1[[#This Row],[Type]]="IN",Table1[[#This Row],[C/D (LC)]],IF(Table1[[#This Row],[Type]]="CN",Table1[[#This Row],[C/D (LC)]],"")),"")</f>
        <v/>
      </c>
      <c r="P874" t="str">
        <f>VLOOKUP(Table1[[#This Row],[Cust '#]],ClientInfo!$A:$B,2,0)</f>
        <v>Client_09</v>
      </c>
    </row>
    <row r="875" spans="1:16">
      <c r="A875" t="s">
        <v>115</v>
      </c>
      <c r="B875" t="s">
        <v>12</v>
      </c>
      <c r="C875">
        <v>140017486</v>
      </c>
      <c r="D875" s="1">
        <v>45635</v>
      </c>
      <c r="E875">
        <v>3057.2</v>
      </c>
      <c r="F875">
        <v>0</v>
      </c>
      <c r="G875">
        <v>700002482</v>
      </c>
      <c r="H875" s="1">
        <v>45670</v>
      </c>
      <c r="I875">
        <f>YEAR(Table1[[#This Row],[Posting Date]])</f>
        <v>2024</v>
      </c>
      <c r="J875">
        <f>MONTH(Table1[[#This Row],[Posting Date]])</f>
        <v>12</v>
      </c>
      <c r="K875" t="str">
        <f>IF(Table1[[#This Row],[Type]]="IN",VLOOKUP(Table1[[#This Row],[Cust '#]],ClientInfo!$A:$D,4,0),"")</f>
        <v>NET30</v>
      </c>
      <c r="L875" s="1">
        <f>IF(K875="NET30",Table1[[#This Row],[Posting Date]]+30,IF(K875="NET15",Table1[[#This Row],[Posting Date]]+15,IF(K875="COD",Table1[[#This Row],[Posting Date]],"")))</f>
        <v>45665</v>
      </c>
      <c r="M875" s="4">
        <f>IFERROR(IF(Table1[[#This Row],[Type]]="IN",Table1[[#This Row],[RC Date]]-Table1[[#This Row],[Posting Date]],""),"")</f>
        <v>35</v>
      </c>
      <c r="N875">
        <f>IFERROR(IF(Table1[[#This Row],[Balance Due (LC)]]&lt;&gt;0,$S$1-L875,0),"")</f>
        <v>0</v>
      </c>
      <c r="O875">
        <f>IFERROR(IF(Table1[[#This Row],[Type]]="IN",Table1[[#This Row],[C/D (LC)]],IF(Table1[[#This Row],[Type]]="CN",Table1[[#This Row],[C/D (LC)]],"")),"")</f>
        <v>3057.2</v>
      </c>
      <c r="P875" t="str">
        <f>VLOOKUP(Table1[[#This Row],[Cust '#]],ClientInfo!$A:$B,2,0)</f>
        <v>Client_09</v>
      </c>
    </row>
    <row r="876" spans="1:16">
      <c r="A876" t="s">
        <v>115</v>
      </c>
      <c r="B876" t="s">
        <v>12</v>
      </c>
      <c r="C876">
        <v>140018159</v>
      </c>
      <c r="D876" s="1">
        <v>45649</v>
      </c>
      <c r="E876">
        <v>1198.8</v>
      </c>
      <c r="F876">
        <v>0</v>
      </c>
      <c r="G876">
        <v>700002482</v>
      </c>
      <c r="H876" s="1">
        <v>45670</v>
      </c>
      <c r="I876">
        <f>YEAR(Table1[[#This Row],[Posting Date]])</f>
        <v>2024</v>
      </c>
      <c r="J876">
        <f>MONTH(Table1[[#This Row],[Posting Date]])</f>
        <v>12</v>
      </c>
      <c r="K876" t="str">
        <f>IF(Table1[[#This Row],[Type]]="IN",VLOOKUP(Table1[[#This Row],[Cust '#]],ClientInfo!$A:$D,4,0),"")</f>
        <v>NET30</v>
      </c>
      <c r="L876" s="1">
        <f>IF(K876="NET30",Table1[[#This Row],[Posting Date]]+30,IF(K876="NET15",Table1[[#This Row],[Posting Date]]+15,IF(K876="COD",Table1[[#This Row],[Posting Date]],"")))</f>
        <v>45679</v>
      </c>
      <c r="M876" s="4">
        <f>IFERROR(IF(Table1[[#This Row],[Type]]="IN",Table1[[#This Row],[RC Date]]-Table1[[#This Row],[Posting Date]],""),"")</f>
        <v>21</v>
      </c>
      <c r="N876">
        <f>IFERROR(IF(Table1[[#This Row],[Balance Due (LC)]]&lt;&gt;0,$S$1-L876,0),"")</f>
        <v>0</v>
      </c>
      <c r="O876">
        <f>IFERROR(IF(Table1[[#This Row],[Type]]="IN",Table1[[#This Row],[C/D (LC)]],IF(Table1[[#This Row],[Type]]="CN",Table1[[#This Row],[C/D (LC)]],"")),"")</f>
        <v>1198.8</v>
      </c>
      <c r="P876" t="str">
        <f>VLOOKUP(Table1[[#This Row],[Cust '#]],ClientInfo!$A:$B,2,0)</f>
        <v>Client_09</v>
      </c>
    </row>
    <row r="877" spans="1:16">
      <c r="A877" t="s">
        <v>115</v>
      </c>
      <c r="B877" t="s">
        <v>10</v>
      </c>
      <c r="C877">
        <v>700002431</v>
      </c>
      <c r="D877" s="1">
        <v>45663</v>
      </c>
      <c r="E877">
        <v>-3612</v>
      </c>
      <c r="F877">
        <v>0</v>
      </c>
      <c r="G877">
        <v>700002431</v>
      </c>
      <c r="H877" s="1">
        <v>45663</v>
      </c>
      <c r="I877">
        <f>YEAR(Table1[[#This Row],[Posting Date]])</f>
        <v>2025</v>
      </c>
      <c r="J877">
        <f>MONTH(Table1[[#This Row],[Posting Date]])</f>
        <v>1</v>
      </c>
      <c r="K877" t="str">
        <f>IF(Table1[[#This Row],[Type]]="IN",VLOOKUP(Table1[[#This Row],[Cust '#]],ClientInfo!$A:$D,4,0),"")</f>
        <v/>
      </c>
      <c r="L877" s="1" t="str">
        <f>IF(K877="NET30",Table1[[#This Row],[Posting Date]]+30,IF(K877="NET15",Table1[[#This Row],[Posting Date]]+15,IF(K877="COD",Table1[[#This Row],[Posting Date]],"")))</f>
        <v/>
      </c>
      <c r="M877" s="4" t="str">
        <f>IFERROR(IF(Table1[[#This Row],[Type]]="IN",Table1[[#This Row],[RC Date]]-Table1[[#This Row],[Posting Date]],""),"")</f>
        <v/>
      </c>
      <c r="N877">
        <f>IFERROR(IF(Table1[[#This Row],[Balance Due (LC)]]&lt;&gt;0,$S$1-L877,0),"")</f>
        <v>0</v>
      </c>
      <c r="O877" t="str">
        <f>IFERROR(IF(Table1[[#This Row],[Type]]="IN",Table1[[#This Row],[C/D (LC)]],IF(Table1[[#This Row],[Type]]="CN",Table1[[#This Row],[C/D (LC)]],"")),"")</f>
        <v/>
      </c>
      <c r="P877" t="str">
        <f>VLOOKUP(Table1[[#This Row],[Cust '#]],ClientInfo!$A:$B,2,0)</f>
        <v>Client_09</v>
      </c>
    </row>
    <row r="878" spans="1:16">
      <c r="A878" t="s">
        <v>115</v>
      </c>
      <c r="B878" t="s">
        <v>12</v>
      </c>
      <c r="C878">
        <v>140019132</v>
      </c>
      <c r="D878" s="1">
        <v>45670</v>
      </c>
      <c r="E878">
        <v>3232.2</v>
      </c>
      <c r="F878">
        <v>0</v>
      </c>
      <c r="G878">
        <v>700002933</v>
      </c>
      <c r="H878" s="1">
        <v>45727</v>
      </c>
      <c r="I878">
        <f>YEAR(Table1[[#This Row],[Posting Date]])</f>
        <v>2025</v>
      </c>
      <c r="J878">
        <f>MONTH(Table1[[#This Row],[Posting Date]])</f>
        <v>1</v>
      </c>
      <c r="K878" t="str">
        <f>IF(Table1[[#This Row],[Type]]="IN",VLOOKUP(Table1[[#This Row],[Cust '#]],ClientInfo!$A:$D,4,0),"")</f>
        <v>NET30</v>
      </c>
      <c r="L878" s="1">
        <f>IF(K878="NET30",Table1[[#This Row],[Posting Date]]+30,IF(K878="NET15",Table1[[#This Row],[Posting Date]]+15,IF(K878="COD",Table1[[#This Row],[Posting Date]],"")))</f>
        <v>45700</v>
      </c>
      <c r="M878" s="4">
        <f>IFERROR(IF(Table1[[#This Row],[Type]]="IN",Table1[[#This Row],[RC Date]]-Table1[[#This Row],[Posting Date]],""),"")</f>
        <v>57</v>
      </c>
      <c r="N878">
        <f>IFERROR(IF(Table1[[#This Row],[Balance Due (LC)]]&lt;&gt;0,$S$1-L878,0),"")</f>
        <v>0</v>
      </c>
      <c r="O878">
        <f>IFERROR(IF(Table1[[#This Row],[Type]]="IN",Table1[[#This Row],[C/D (LC)]],IF(Table1[[#This Row],[Type]]="CN",Table1[[#This Row],[C/D (LC)]],"")),"")</f>
        <v>3232.2</v>
      </c>
      <c r="P878" t="str">
        <f>VLOOKUP(Table1[[#This Row],[Cust '#]],ClientInfo!$A:$B,2,0)</f>
        <v>Client_09</v>
      </c>
    </row>
    <row r="879" spans="1:16">
      <c r="A879" t="s">
        <v>115</v>
      </c>
      <c r="B879" t="s">
        <v>10</v>
      </c>
      <c r="C879">
        <v>700002482</v>
      </c>
      <c r="D879" s="1">
        <v>45670</v>
      </c>
      <c r="E879">
        <v>-8243.7999999999993</v>
      </c>
      <c r="F879">
        <v>0</v>
      </c>
      <c r="G879">
        <v>700002482</v>
      </c>
      <c r="H879" s="1">
        <v>45670</v>
      </c>
      <c r="I879">
        <f>YEAR(Table1[[#This Row],[Posting Date]])</f>
        <v>2025</v>
      </c>
      <c r="J879">
        <f>MONTH(Table1[[#This Row],[Posting Date]])</f>
        <v>1</v>
      </c>
      <c r="K879" t="str">
        <f>IF(Table1[[#This Row],[Type]]="IN",VLOOKUP(Table1[[#This Row],[Cust '#]],ClientInfo!$A:$D,4,0),"")</f>
        <v/>
      </c>
      <c r="L879" s="1" t="str">
        <f>IF(K879="NET30",Table1[[#This Row],[Posting Date]]+30,IF(K879="NET15",Table1[[#This Row],[Posting Date]]+15,IF(K879="COD",Table1[[#This Row],[Posting Date]],"")))</f>
        <v/>
      </c>
      <c r="M879" s="4" t="str">
        <f>IFERROR(IF(Table1[[#This Row],[Type]]="IN",Table1[[#This Row],[RC Date]]-Table1[[#This Row],[Posting Date]],""),"")</f>
        <v/>
      </c>
      <c r="N879">
        <f>IFERROR(IF(Table1[[#This Row],[Balance Due (LC)]]&lt;&gt;0,$S$1-L879,0),"")</f>
        <v>0</v>
      </c>
      <c r="O879" t="str">
        <f>IFERROR(IF(Table1[[#This Row],[Type]]="IN",Table1[[#This Row],[C/D (LC)]],IF(Table1[[#This Row],[Type]]="CN",Table1[[#This Row],[C/D (LC)]],"")),"")</f>
        <v/>
      </c>
      <c r="P879" t="str">
        <f>VLOOKUP(Table1[[#This Row],[Cust '#]],ClientInfo!$A:$B,2,0)</f>
        <v>Client_09</v>
      </c>
    </row>
    <row r="880" spans="1:16">
      <c r="A880" t="s">
        <v>115</v>
      </c>
      <c r="B880" t="s">
        <v>12</v>
      </c>
      <c r="C880">
        <v>140020049</v>
      </c>
      <c r="D880" s="1">
        <v>45688</v>
      </c>
      <c r="E880">
        <v>4402</v>
      </c>
      <c r="F880">
        <v>0</v>
      </c>
      <c r="G880">
        <v>700002933</v>
      </c>
      <c r="H880" s="1">
        <v>45727</v>
      </c>
      <c r="I880">
        <f>YEAR(Table1[[#This Row],[Posting Date]])</f>
        <v>2025</v>
      </c>
      <c r="J880">
        <f>MONTH(Table1[[#This Row],[Posting Date]])</f>
        <v>1</v>
      </c>
      <c r="K880" t="str">
        <f>IF(Table1[[#This Row],[Type]]="IN",VLOOKUP(Table1[[#This Row],[Cust '#]],ClientInfo!$A:$D,4,0),"")</f>
        <v>NET30</v>
      </c>
      <c r="L880" s="1">
        <f>IF(K880="NET30",Table1[[#This Row],[Posting Date]]+30,IF(K880="NET15",Table1[[#This Row],[Posting Date]]+15,IF(K880="COD",Table1[[#This Row],[Posting Date]],"")))</f>
        <v>45718</v>
      </c>
      <c r="M880" s="4">
        <f>IFERROR(IF(Table1[[#This Row],[Type]]="IN",Table1[[#This Row],[RC Date]]-Table1[[#This Row],[Posting Date]],""),"")</f>
        <v>39</v>
      </c>
      <c r="N880">
        <f>IFERROR(IF(Table1[[#This Row],[Balance Due (LC)]]&lt;&gt;0,$S$1-L880,0),"")</f>
        <v>0</v>
      </c>
      <c r="O880">
        <f>IFERROR(IF(Table1[[#This Row],[Type]]="IN",Table1[[#This Row],[C/D (LC)]],IF(Table1[[#This Row],[Type]]="CN",Table1[[#This Row],[C/D (LC)]],"")),"")</f>
        <v>4402</v>
      </c>
      <c r="P880" t="str">
        <f>VLOOKUP(Table1[[#This Row],[Cust '#]],ClientInfo!$A:$B,2,0)</f>
        <v>Client_09</v>
      </c>
    </row>
    <row r="881" spans="1:16">
      <c r="A881" t="s">
        <v>115</v>
      </c>
      <c r="B881" t="s">
        <v>12</v>
      </c>
      <c r="C881">
        <v>140020745</v>
      </c>
      <c r="D881" s="1">
        <v>45705</v>
      </c>
      <c r="E881">
        <v>1971</v>
      </c>
      <c r="F881">
        <v>0</v>
      </c>
      <c r="G881">
        <v>700002933</v>
      </c>
      <c r="H881" s="1">
        <v>45727</v>
      </c>
      <c r="I881">
        <f>YEAR(Table1[[#This Row],[Posting Date]])</f>
        <v>2025</v>
      </c>
      <c r="J881">
        <f>MONTH(Table1[[#This Row],[Posting Date]])</f>
        <v>2</v>
      </c>
      <c r="K881" t="str">
        <f>IF(Table1[[#This Row],[Type]]="IN",VLOOKUP(Table1[[#This Row],[Cust '#]],ClientInfo!$A:$D,4,0),"")</f>
        <v>NET30</v>
      </c>
      <c r="L881" s="1">
        <f>IF(K881="NET30",Table1[[#This Row],[Posting Date]]+30,IF(K881="NET15",Table1[[#This Row],[Posting Date]]+15,IF(K881="COD",Table1[[#This Row],[Posting Date]],"")))</f>
        <v>45735</v>
      </c>
      <c r="M881" s="4">
        <f>IFERROR(IF(Table1[[#This Row],[Type]]="IN",Table1[[#This Row],[RC Date]]-Table1[[#This Row],[Posting Date]],""),"")</f>
        <v>22</v>
      </c>
      <c r="N881">
        <f>IFERROR(IF(Table1[[#This Row],[Balance Due (LC)]]&lt;&gt;0,$S$1-L881,0),"")</f>
        <v>0</v>
      </c>
      <c r="O881">
        <f>IFERROR(IF(Table1[[#This Row],[Type]]="IN",Table1[[#This Row],[C/D (LC)]],IF(Table1[[#This Row],[Type]]="CN",Table1[[#This Row],[C/D (LC)]],"")),"")</f>
        <v>1971</v>
      </c>
      <c r="P881" t="str">
        <f>VLOOKUP(Table1[[#This Row],[Cust '#]],ClientInfo!$A:$B,2,0)</f>
        <v>Client_09</v>
      </c>
    </row>
    <row r="882" spans="1:16">
      <c r="A882" t="s">
        <v>115</v>
      </c>
      <c r="B882" t="s">
        <v>12</v>
      </c>
      <c r="C882">
        <v>140021048</v>
      </c>
      <c r="D882" s="1">
        <v>45712</v>
      </c>
      <c r="E882">
        <v>1134</v>
      </c>
      <c r="F882">
        <v>0</v>
      </c>
      <c r="G882">
        <v>700002933</v>
      </c>
      <c r="H882" s="1">
        <v>45727</v>
      </c>
      <c r="I882">
        <f>YEAR(Table1[[#This Row],[Posting Date]])</f>
        <v>2025</v>
      </c>
      <c r="J882">
        <f>MONTH(Table1[[#This Row],[Posting Date]])</f>
        <v>2</v>
      </c>
      <c r="K882" t="str">
        <f>IF(Table1[[#This Row],[Type]]="IN",VLOOKUP(Table1[[#This Row],[Cust '#]],ClientInfo!$A:$D,4,0),"")</f>
        <v>NET30</v>
      </c>
      <c r="L882" s="1">
        <f>IF(K882="NET30",Table1[[#This Row],[Posting Date]]+30,IF(K882="NET15",Table1[[#This Row],[Posting Date]]+15,IF(K882="COD",Table1[[#This Row],[Posting Date]],"")))</f>
        <v>45742</v>
      </c>
      <c r="M882" s="4">
        <f>IFERROR(IF(Table1[[#This Row],[Type]]="IN",Table1[[#This Row],[RC Date]]-Table1[[#This Row],[Posting Date]],""),"")</f>
        <v>15</v>
      </c>
      <c r="N882">
        <f>IFERROR(IF(Table1[[#This Row],[Balance Due (LC)]]&lt;&gt;0,$S$1-L882,0),"")</f>
        <v>0</v>
      </c>
      <c r="O882">
        <f>IFERROR(IF(Table1[[#This Row],[Type]]="IN",Table1[[#This Row],[C/D (LC)]],IF(Table1[[#This Row],[Type]]="CN",Table1[[#This Row],[C/D (LC)]],"")),"")</f>
        <v>1134</v>
      </c>
      <c r="P882" t="str">
        <f>VLOOKUP(Table1[[#This Row],[Cust '#]],ClientInfo!$A:$B,2,0)</f>
        <v>Client_09</v>
      </c>
    </row>
    <row r="883" spans="1:16">
      <c r="A883" t="s">
        <v>115</v>
      </c>
      <c r="B883" t="s">
        <v>10</v>
      </c>
      <c r="C883">
        <v>700002933</v>
      </c>
      <c r="D883" s="1">
        <v>45727</v>
      </c>
      <c r="E883">
        <v>-10805.2</v>
      </c>
      <c r="F883">
        <v>0</v>
      </c>
      <c r="G883">
        <v>700002933</v>
      </c>
      <c r="H883" s="1">
        <v>45727</v>
      </c>
      <c r="I883">
        <f>YEAR(Table1[[#This Row],[Posting Date]])</f>
        <v>2025</v>
      </c>
      <c r="J883">
        <f>MONTH(Table1[[#This Row],[Posting Date]])</f>
        <v>3</v>
      </c>
      <c r="K883" t="str">
        <f>IF(Table1[[#This Row],[Type]]="IN",VLOOKUP(Table1[[#This Row],[Cust '#]],ClientInfo!$A:$D,4,0),"")</f>
        <v/>
      </c>
      <c r="L883" s="1" t="str">
        <f>IF(K883="NET30",Table1[[#This Row],[Posting Date]]+30,IF(K883="NET15",Table1[[#This Row],[Posting Date]]+15,IF(K883="COD",Table1[[#This Row],[Posting Date]],"")))</f>
        <v/>
      </c>
      <c r="M883" s="4" t="str">
        <f>IFERROR(IF(Table1[[#This Row],[Type]]="IN",Table1[[#This Row],[RC Date]]-Table1[[#This Row],[Posting Date]],""),"")</f>
        <v/>
      </c>
      <c r="N883">
        <f>IFERROR(IF(Table1[[#This Row],[Balance Due (LC)]]&lt;&gt;0,$S$1-L883,0),"")</f>
        <v>0</v>
      </c>
      <c r="O883" t="str">
        <f>IFERROR(IF(Table1[[#This Row],[Type]]="IN",Table1[[#This Row],[C/D (LC)]],IF(Table1[[#This Row],[Type]]="CN",Table1[[#This Row],[C/D (LC)]],"")),"")</f>
        <v/>
      </c>
      <c r="P883" t="str">
        <f>VLOOKUP(Table1[[#This Row],[Cust '#]],ClientInfo!$A:$B,2,0)</f>
        <v>Client_09</v>
      </c>
    </row>
    <row r="884" spans="1:16">
      <c r="A884" t="s">
        <v>115</v>
      </c>
      <c r="B884" t="s">
        <v>12</v>
      </c>
      <c r="C884">
        <v>140021813</v>
      </c>
      <c r="D884" s="1">
        <v>45729</v>
      </c>
      <c r="E884">
        <v>1023.6</v>
      </c>
      <c r="F884">
        <v>0</v>
      </c>
      <c r="G884">
        <v>700003310</v>
      </c>
      <c r="H884" s="1">
        <v>45770</v>
      </c>
      <c r="I884">
        <f>YEAR(Table1[[#This Row],[Posting Date]])</f>
        <v>2025</v>
      </c>
      <c r="J884">
        <f>MONTH(Table1[[#This Row],[Posting Date]])</f>
        <v>3</v>
      </c>
      <c r="K884" t="str">
        <f>IF(Table1[[#This Row],[Type]]="IN",VLOOKUP(Table1[[#This Row],[Cust '#]],ClientInfo!$A:$D,4,0),"")</f>
        <v>NET30</v>
      </c>
      <c r="L884" s="1">
        <f>IF(K884="NET30",Table1[[#This Row],[Posting Date]]+30,IF(K884="NET15",Table1[[#This Row],[Posting Date]]+15,IF(K884="COD",Table1[[#This Row],[Posting Date]],"")))</f>
        <v>45759</v>
      </c>
      <c r="M884" s="4">
        <f>IFERROR(IF(Table1[[#This Row],[Type]]="IN",Table1[[#This Row],[RC Date]]-Table1[[#This Row],[Posting Date]],""),"")</f>
        <v>41</v>
      </c>
      <c r="N884">
        <f>IFERROR(IF(Table1[[#This Row],[Balance Due (LC)]]&lt;&gt;0,$S$1-L884,0),"")</f>
        <v>0</v>
      </c>
      <c r="O884">
        <f>IFERROR(IF(Table1[[#This Row],[Type]]="IN",Table1[[#This Row],[C/D (LC)]],IF(Table1[[#This Row],[Type]]="CN",Table1[[#This Row],[C/D (LC)]],"")),"")</f>
        <v>1023.6</v>
      </c>
      <c r="P884" t="str">
        <f>VLOOKUP(Table1[[#This Row],[Cust '#]],ClientInfo!$A:$B,2,0)</f>
        <v>Client_09</v>
      </c>
    </row>
    <row r="885" spans="1:16">
      <c r="A885" t="s">
        <v>115</v>
      </c>
      <c r="B885" t="s">
        <v>12</v>
      </c>
      <c r="C885">
        <v>140021820</v>
      </c>
      <c r="D885" s="1">
        <v>45729</v>
      </c>
      <c r="E885">
        <v>3103.2</v>
      </c>
      <c r="F885">
        <v>0</v>
      </c>
      <c r="G885">
        <v>700003257</v>
      </c>
      <c r="H885" s="1">
        <v>45763</v>
      </c>
      <c r="I885">
        <f>YEAR(Table1[[#This Row],[Posting Date]])</f>
        <v>2025</v>
      </c>
      <c r="J885">
        <f>MONTH(Table1[[#This Row],[Posting Date]])</f>
        <v>3</v>
      </c>
      <c r="K885" t="str">
        <f>IF(Table1[[#This Row],[Type]]="IN",VLOOKUP(Table1[[#This Row],[Cust '#]],ClientInfo!$A:$D,4,0),"")</f>
        <v>NET30</v>
      </c>
      <c r="L885" s="1">
        <f>IF(K885="NET30",Table1[[#This Row],[Posting Date]]+30,IF(K885="NET15",Table1[[#This Row],[Posting Date]]+15,IF(K885="COD",Table1[[#This Row],[Posting Date]],"")))</f>
        <v>45759</v>
      </c>
      <c r="M885" s="4">
        <f>IFERROR(IF(Table1[[#This Row],[Type]]="IN",Table1[[#This Row],[RC Date]]-Table1[[#This Row],[Posting Date]],""),"")</f>
        <v>34</v>
      </c>
      <c r="N885">
        <f>IFERROR(IF(Table1[[#This Row],[Balance Due (LC)]]&lt;&gt;0,$S$1-L885,0),"")</f>
        <v>0</v>
      </c>
      <c r="O885">
        <f>IFERROR(IF(Table1[[#This Row],[Type]]="IN",Table1[[#This Row],[C/D (LC)]],IF(Table1[[#This Row],[Type]]="CN",Table1[[#This Row],[C/D (LC)]],"")),"")</f>
        <v>3103.2</v>
      </c>
      <c r="P885" t="str">
        <f>VLOOKUP(Table1[[#This Row],[Cust '#]],ClientInfo!$A:$B,2,0)</f>
        <v>Client_09</v>
      </c>
    </row>
    <row r="886" spans="1:16">
      <c r="A886" t="s">
        <v>115</v>
      </c>
      <c r="B886" t="s">
        <v>12</v>
      </c>
      <c r="C886">
        <v>140022279</v>
      </c>
      <c r="D886" s="1">
        <v>45740</v>
      </c>
      <c r="E886">
        <v>2893.4</v>
      </c>
      <c r="F886">
        <v>0</v>
      </c>
      <c r="G886">
        <v>700003310</v>
      </c>
      <c r="H886" s="1">
        <v>45770</v>
      </c>
      <c r="I886">
        <f>YEAR(Table1[[#This Row],[Posting Date]])</f>
        <v>2025</v>
      </c>
      <c r="J886">
        <f>MONTH(Table1[[#This Row],[Posting Date]])</f>
        <v>3</v>
      </c>
      <c r="K886" t="str">
        <f>IF(Table1[[#This Row],[Type]]="IN",VLOOKUP(Table1[[#This Row],[Cust '#]],ClientInfo!$A:$D,4,0),"")</f>
        <v>NET30</v>
      </c>
      <c r="L886" s="1">
        <f>IF(K886="NET30",Table1[[#This Row],[Posting Date]]+30,IF(K886="NET15",Table1[[#This Row],[Posting Date]]+15,IF(K886="COD",Table1[[#This Row],[Posting Date]],"")))</f>
        <v>45770</v>
      </c>
      <c r="M886" s="4">
        <f>IFERROR(IF(Table1[[#This Row],[Type]]="IN",Table1[[#This Row],[RC Date]]-Table1[[#This Row],[Posting Date]],""),"")</f>
        <v>30</v>
      </c>
      <c r="N886">
        <f>IFERROR(IF(Table1[[#This Row],[Balance Due (LC)]]&lt;&gt;0,$S$1-L886,0),"")</f>
        <v>0</v>
      </c>
      <c r="O886">
        <f>IFERROR(IF(Table1[[#This Row],[Type]]="IN",Table1[[#This Row],[C/D (LC)]],IF(Table1[[#This Row],[Type]]="CN",Table1[[#This Row],[C/D (LC)]],"")),"")</f>
        <v>2893.4</v>
      </c>
      <c r="P886" t="str">
        <f>VLOOKUP(Table1[[#This Row],[Cust '#]],ClientInfo!$A:$B,2,0)</f>
        <v>Client_09</v>
      </c>
    </row>
    <row r="887" spans="1:16">
      <c r="A887" t="s">
        <v>115</v>
      </c>
      <c r="B887" t="s">
        <v>12</v>
      </c>
      <c r="C887">
        <v>140023181</v>
      </c>
      <c r="D887" s="1">
        <v>45761</v>
      </c>
      <c r="E887">
        <v>4909.8</v>
      </c>
      <c r="F887">
        <v>0</v>
      </c>
      <c r="G887">
        <v>700003591</v>
      </c>
      <c r="H887" s="1">
        <v>45807</v>
      </c>
      <c r="I887">
        <f>YEAR(Table1[[#This Row],[Posting Date]])</f>
        <v>2025</v>
      </c>
      <c r="J887">
        <f>MONTH(Table1[[#This Row],[Posting Date]])</f>
        <v>4</v>
      </c>
      <c r="K887" t="str">
        <f>IF(Table1[[#This Row],[Type]]="IN",VLOOKUP(Table1[[#This Row],[Cust '#]],ClientInfo!$A:$D,4,0),"")</f>
        <v>NET30</v>
      </c>
      <c r="L887" s="1">
        <f>IF(K887="NET30",Table1[[#This Row],[Posting Date]]+30,IF(K887="NET15",Table1[[#This Row],[Posting Date]]+15,IF(K887="COD",Table1[[#This Row],[Posting Date]],"")))</f>
        <v>45791</v>
      </c>
      <c r="M887" s="4">
        <f>IFERROR(IF(Table1[[#This Row],[Type]]="IN",Table1[[#This Row],[RC Date]]-Table1[[#This Row],[Posting Date]],""),"")</f>
        <v>46</v>
      </c>
      <c r="N887">
        <f>IFERROR(IF(Table1[[#This Row],[Balance Due (LC)]]&lt;&gt;0,$S$1-L887,0),"")</f>
        <v>0</v>
      </c>
      <c r="O887">
        <f>IFERROR(IF(Table1[[#This Row],[Type]]="IN",Table1[[#This Row],[C/D (LC)]],IF(Table1[[#This Row],[Type]]="CN",Table1[[#This Row],[C/D (LC)]],"")),"")</f>
        <v>4909.8</v>
      </c>
      <c r="P887" t="str">
        <f>VLOOKUP(Table1[[#This Row],[Cust '#]],ClientInfo!$A:$B,2,0)</f>
        <v>Client_09</v>
      </c>
    </row>
    <row r="888" spans="1:16">
      <c r="A888" t="s">
        <v>115</v>
      </c>
      <c r="B888" t="s">
        <v>10</v>
      </c>
      <c r="C888">
        <v>700003257</v>
      </c>
      <c r="D888" s="1">
        <v>45763</v>
      </c>
      <c r="E888">
        <v>-3103.2</v>
      </c>
      <c r="F888">
        <v>0</v>
      </c>
      <c r="G888">
        <v>700003257</v>
      </c>
      <c r="H888" s="1">
        <v>45763</v>
      </c>
      <c r="I888">
        <f>YEAR(Table1[[#This Row],[Posting Date]])</f>
        <v>2025</v>
      </c>
      <c r="J888">
        <f>MONTH(Table1[[#This Row],[Posting Date]])</f>
        <v>4</v>
      </c>
      <c r="K888" t="str">
        <f>IF(Table1[[#This Row],[Type]]="IN",VLOOKUP(Table1[[#This Row],[Cust '#]],ClientInfo!$A:$D,4,0),"")</f>
        <v/>
      </c>
      <c r="L888" s="1" t="str">
        <f>IF(K888="NET30",Table1[[#This Row],[Posting Date]]+30,IF(K888="NET15",Table1[[#This Row],[Posting Date]]+15,IF(K888="COD",Table1[[#This Row],[Posting Date]],"")))</f>
        <v/>
      </c>
      <c r="M888" s="4" t="str">
        <f>IFERROR(IF(Table1[[#This Row],[Type]]="IN",Table1[[#This Row],[RC Date]]-Table1[[#This Row],[Posting Date]],""),"")</f>
        <v/>
      </c>
      <c r="N888">
        <f>IFERROR(IF(Table1[[#This Row],[Balance Due (LC)]]&lt;&gt;0,$S$1-L888,0),"")</f>
        <v>0</v>
      </c>
      <c r="O888" t="str">
        <f>IFERROR(IF(Table1[[#This Row],[Type]]="IN",Table1[[#This Row],[C/D (LC)]],IF(Table1[[#This Row],[Type]]="CN",Table1[[#This Row],[C/D (LC)]],"")),"")</f>
        <v/>
      </c>
      <c r="P888" t="str">
        <f>VLOOKUP(Table1[[#This Row],[Cust '#]],ClientInfo!$A:$B,2,0)</f>
        <v>Client_09</v>
      </c>
    </row>
    <row r="889" spans="1:16">
      <c r="A889" t="s">
        <v>115</v>
      </c>
      <c r="B889" t="s">
        <v>10</v>
      </c>
      <c r="C889">
        <v>700003310</v>
      </c>
      <c r="D889" s="1">
        <v>45770</v>
      </c>
      <c r="E889">
        <v>-3917</v>
      </c>
      <c r="F889">
        <v>0</v>
      </c>
      <c r="G889">
        <v>700003310</v>
      </c>
      <c r="H889" s="1">
        <v>45770</v>
      </c>
      <c r="I889">
        <f>YEAR(Table1[[#This Row],[Posting Date]])</f>
        <v>2025</v>
      </c>
      <c r="J889">
        <f>MONTH(Table1[[#This Row],[Posting Date]])</f>
        <v>4</v>
      </c>
      <c r="K889" t="str">
        <f>IF(Table1[[#This Row],[Type]]="IN",VLOOKUP(Table1[[#This Row],[Cust '#]],ClientInfo!$A:$D,4,0),"")</f>
        <v/>
      </c>
      <c r="L889" s="1" t="str">
        <f>IF(K889="NET30",Table1[[#This Row],[Posting Date]]+30,IF(K889="NET15",Table1[[#This Row],[Posting Date]]+15,IF(K889="COD",Table1[[#This Row],[Posting Date]],"")))</f>
        <v/>
      </c>
      <c r="M889" s="4" t="str">
        <f>IFERROR(IF(Table1[[#This Row],[Type]]="IN",Table1[[#This Row],[RC Date]]-Table1[[#This Row],[Posting Date]],""),"")</f>
        <v/>
      </c>
      <c r="N889">
        <f>IFERROR(IF(Table1[[#This Row],[Balance Due (LC)]]&lt;&gt;0,$S$1-L889,0),"")</f>
        <v>0</v>
      </c>
      <c r="O889" t="str">
        <f>IFERROR(IF(Table1[[#This Row],[Type]]="IN",Table1[[#This Row],[C/D (LC)]],IF(Table1[[#This Row],[Type]]="CN",Table1[[#This Row],[C/D (LC)]],"")),"")</f>
        <v/>
      </c>
      <c r="P889" t="str">
        <f>VLOOKUP(Table1[[#This Row],[Cust '#]],ClientInfo!$A:$B,2,0)</f>
        <v>Client_09</v>
      </c>
    </row>
    <row r="890" spans="1:16">
      <c r="A890" t="s">
        <v>115</v>
      </c>
      <c r="B890" t="s">
        <v>13</v>
      </c>
      <c r="C890">
        <v>150001087</v>
      </c>
      <c r="D890" s="1">
        <v>45773</v>
      </c>
      <c r="E890">
        <v>-7.7</v>
      </c>
      <c r="F890">
        <v>0</v>
      </c>
      <c r="G890">
        <v>700003591</v>
      </c>
      <c r="H890" s="1">
        <v>45807</v>
      </c>
      <c r="I890">
        <f>YEAR(Table1[[#This Row],[Posting Date]])</f>
        <v>2025</v>
      </c>
      <c r="J890">
        <f>MONTH(Table1[[#This Row],[Posting Date]])</f>
        <v>4</v>
      </c>
      <c r="K890" t="str">
        <f>IF(Table1[[#This Row],[Type]]="IN",VLOOKUP(Table1[[#This Row],[Cust '#]],ClientInfo!$A:$D,4,0),"")</f>
        <v/>
      </c>
      <c r="L890" s="1" t="str">
        <f>IF(K890="NET30",Table1[[#This Row],[Posting Date]]+30,IF(K890="NET15",Table1[[#This Row],[Posting Date]]+15,IF(K890="COD",Table1[[#This Row],[Posting Date]],"")))</f>
        <v/>
      </c>
      <c r="M890" s="4" t="str">
        <f>IFERROR(IF(Table1[[#This Row],[Type]]="IN",Table1[[#This Row],[RC Date]]-Table1[[#This Row],[Posting Date]],""),"")</f>
        <v/>
      </c>
      <c r="N890">
        <f>IFERROR(IF(Table1[[#This Row],[Balance Due (LC)]]&lt;&gt;0,$S$1-L890,0),"")</f>
        <v>0</v>
      </c>
      <c r="O890">
        <f>IFERROR(IF(Table1[[#This Row],[Type]]="IN",Table1[[#This Row],[C/D (LC)]],IF(Table1[[#This Row],[Type]]="CN",Table1[[#This Row],[C/D (LC)]],"")),"")</f>
        <v>-7.7</v>
      </c>
      <c r="P890" t="str">
        <f>VLOOKUP(Table1[[#This Row],[Cust '#]],ClientInfo!$A:$B,2,0)</f>
        <v>Client_09</v>
      </c>
    </row>
    <row r="891" spans="1:16">
      <c r="A891" t="s">
        <v>115</v>
      </c>
      <c r="B891" t="s">
        <v>12</v>
      </c>
      <c r="C891">
        <v>140023796</v>
      </c>
      <c r="D891" s="1">
        <v>45775</v>
      </c>
      <c r="E891">
        <v>3207</v>
      </c>
      <c r="F891">
        <v>0</v>
      </c>
      <c r="G891">
        <v>700003590</v>
      </c>
      <c r="H891" s="1">
        <v>45807</v>
      </c>
      <c r="I891">
        <f>YEAR(Table1[[#This Row],[Posting Date]])</f>
        <v>2025</v>
      </c>
      <c r="J891">
        <f>MONTH(Table1[[#This Row],[Posting Date]])</f>
        <v>4</v>
      </c>
      <c r="K891" t="str">
        <f>IF(Table1[[#This Row],[Type]]="IN",VLOOKUP(Table1[[#This Row],[Cust '#]],ClientInfo!$A:$D,4,0),"")</f>
        <v>NET30</v>
      </c>
      <c r="L891" s="1">
        <f>IF(K891="NET30",Table1[[#This Row],[Posting Date]]+30,IF(K891="NET15",Table1[[#This Row],[Posting Date]]+15,IF(K891="COD",Table1[[#This Row],[Posting Date]],"")))</f>
        <v>45805</v>
      </c>
      <c r="M891" s="4">
        <f>IFERROR(IF(Table1[[#This Row],[Type]]="IN",Table1[[#This Row],[RC Date]]-Table1[[#This Row],[Posting Date]],""),"")</f>
        <v>32</v>
      </c>
      <c r="N891">
        <f>IFERROR(IF(Table1[[#This Row],[Balance Due (LC)]]&lt;&gt;0,$S$1-L891,0),"")</f>
        <v>0</v>
      </c>
      <c r="O891">
        <f>IFERROR(IF(Table1[[#This Row],[Type]]="IN",Table1[[#This Row],[C/D (LC)]],IF(Table1[[#This Row],[Type]]="CN",Table1[[#This Row],[C/D (LC)]],"")),"")</f>
        <v>3207</v>
      </c>
      <c r="P891" t="str">
        <f>VLOOKUP(Table1[[#This Row],[Cust '#]],ClientInfo!$A:$B,2,0)</f>
        <v>Client_09</v>
      </c>
    </row>
    <row r="892" spans="1:16">
      <c r="A892" t="s">
        <v>115</v>
      </c>
      <c r="B892" t="s">
        <v>12</v>
      </c>
      <c r="C892">
        <v>140024390</v>
      </c>
      <c r="D892" s="1">
        <v>45789</v>
      </c>
      <c r="E892">
        <v>3341</v>
      </c>
      <c r="F892">
        <v>3341</v>
      </c>
      <c r="H892" s="1" t="s">
        <v>14</v>
      </c>
      <c r="I892">
        <f>YEAR(Table1[[#This Row],[Posting Date]])</f>
        <v>2025</v>
      </c>
      <c r="J892">
        <f>MONTH(Table1[[#This Row],[Posting Date]])</f>
        <v>5</v>
      </c>
      <c r="K892" t="str">
        <f>IF(Table1[[#This Row],[Type]]="IN",VLOOKUP(Table1[[#This Row],[Cust '#]],ClientInfo!$A:$D,4,0),"")</f>
        <v>NET30</v>
      </c>
      <c r="L892" s="1">
        <f>IF(K892="NET30",Table1[[#This Row],[Posting Date]]+30,IF(K892="NET15",Table1[[#This Row],[Posting Date]]+15,IF(K892="COD",Table1[[#This Row],[Posting Date]],"")))</f>
        <v>45819</v>
      </c>
      <c r="M892" s="4" t="str">
        <f>IFERROR(IF(Table1[[#This Row],[Type]]="IN",Table1[[#This Row],[RC Date]]-Table1[[#This Row],[Posting Date]],""),"")</f>
        <v/>
      </c>
      <c r="N892">
        <f>IFERROR(IF(Table1[[#This Row],[Balance Due (LC)]]&lt;&gt;0,$S$1-L892,0),"")</f>
        <v>7</v>
      </c>
      <c r="O892">
        <f>IFERROR(IF(Table1[[#This Row],[Type]]="IN",Table1[[#This Row],[C/D (LC)]],IF(Table1[[#This Row],[Type]]="CN",Table1[[#This Row],[C/D (LC)]],"")),"")</f>
        <v>3341</v>
      </c>
      <c r="P892" t="str">
        <f>VLOOKUP(Table1[[#This Row],[Cust '#]],ClientInfo!$A:$B,2,0)</f>
        <v>Client_09</v>
      </c>
    </row>
    <row r="893" spans="1:16">
      <c r="A893" t="s">
        <v>115</v>
      </c>
      <c r="B893" t="s">
        <v>12</v>
      </c>
      <c r="C893">
        <v>140025213</v>
      </c>
      <c r="D893" s="1">
        <v>45806</v>
      </c>
      <c r="E893">
        <v>144</v>
      </c>
      <c r="F893">
        <v>144</v>
      </c>
      <c r="H893" s="1" t="s">
        <v>14</v>
      </c>
      <c r="I893">
        <f>YEAR(Table1[[#This Row],[Posting Date]])</f>
        <v>2025</v>
      </c>
      <c r="J893">
        <f>MONTH(Table1[[#This Row],[Posting Date]])</f>
        <v>5</v>
      </c>
      <c r="K893" t="str">
        <f>IF(Table1[[#This Row],[Type]]="IN",VLOOKUP(Table1[[#This Row],[Cust '#]],ClientInfo!$A:$D,4,0),"")</f>
        <v>NET30</v>
      </c>
      <c r="L893" s="1">
        <f>IF(K893="NET30",Table1[[#This Row],[Posting Date]]+30,IF(K893="NET15",Table1[[#This Row],[Posting Date]]+15,IF(K893="COD",Table1[[#This Row],[Posting Date]],"")))</f>
        <v>45836</v>
      </c>
      <c r="M893" s="4" t="str">
        <f>IFERROR(IF(Table1[[#This Row],[Type]]="IN",Table1[[#This Row],[RC Date]]-Table1[[#This Row],[Posting Date]],""),"")</f>
        <v/>
      </c>
      <c r="N893">
        <f>IFERROR(IF(Table1[[#This Row],[Balance Due (LC)]]&lt;&gt;0,$S$1-L893,0),"")</f>
        <v>-10</v>
      </c>
      <c r="O893">
        <f>IFERROR(IF(Table1[[#This Row],[Type]]="IN",Table1[[#This Row],[C/D (LC)]],IF(Table1[[#This Row],[Type]]="CN",Table1[[#This Row],[C/D (LC)]],"")),"")</f>
        <v>144</v>
      </c>
      <c r="P893" t="str">
        <f>VLOOKUP(Table1[[#This Row],[Cust '#]],ClientInfo!$A:$B,2,0)</f>
        <v>Client_09</v>
      </c>
    </row>
    <row r="894" spans="1:16">
      <c r="A894" t="s">
        <v>115</v>
      </c>
      <c r="B894" t="s">
        <v>10</v>
      </c>
      <c r="C894">
        <v>700003590</v>
      </c>
      <c r="D894" s="1">
        <v>45807</v>
      </c>
      <c r="E894">
        <v>-3207</v>
      </c>
      <c r="F894">
        <v>0</v>
      </c>
      <c r="G894">
        <v>700003590</v>
      </c>
      <c r="H894" s="1">
        <v>45807</v>
      </c>
      <c r="I894">
        <f>YEAR(Table1[[#This Row],[Posting Date]])</f>
        <v>2025</v>
      </c>
      <c r="J894">
        <f>MONTH(Table1[[#This Row],[Posting Date]])</f>
        <v>5</v>
      </c>
      <c r="K894" t="str">
        <f>IF(Table1[[#This Row],[Type]]="IN",VLOOKUP(Table1[[#This Row],[Cust '#]],ClientInfo!$A:$D,4,0),"")</f>
        <v/>
      </c>
      <c r="L894" s="1" t="str">
        <f>IF(K894="NET30",Table1[[#This Row],[Posting Date]]+30,IF(K894="NET15",Table1[[#This Row],[Posting Date]]+15,IF(K894="COD",Table1[[#This Row],[Posting Date]],"")))</f>
        <v/>
      </c>
      <c r="M894" s="4" t="str">
        <f>IFERROR(IF(Table1[[#This Row],[Type]]="IN",Table1[[#This Row],[RC Date]]-Table1[[#This Row],[Posting Date]],""),"")</f>
        <v/>
      </c>
      <c r="N894">
        <f>IFERROR(IF(Table1[[#This Row],[Balance Due (LC)]]&lt;&gt;0,$S$1-L894,0),"")</f>
        <v>0</v>
      </c>
      <c r="O894" t="str">
        <f>IFERROR(IF(Table1[[#This Row],[Type]]="IN",Table1[[#This Row],[C/D (LC)]],IF(Table1[[#This Row],[Type]]="CN",Table1[[#This Row],[C/D (LC)]],"")),"")</f>
        <v/>
      </c>
      <c r="P894" t="str">
        <f>VLOOKUP(Table1[[#This Row],[Cust '#]],ClientInfo!$A:$B,2,0)</f>
        <v>Client_09</v>
      </c>
    </row>
    <row r="895" spans="1:16">
      <c r="A895" t="s">
        <v>115</v>
      </c>
      <c r="B895" t="s">
        <v>10</v>
      </c>
      <c r="C895">
        <v>700003591</v>
      </c>
      <c r="D895" s="1">
        <v>45807</v>
      </c>
      <c r="E895">
        <v>-4902.1000000000004</v>
      </c>
      <c r="F895">
        <v>0</v>
      </c>
      <c r="G895">
        <v>700003591</v>
      </c>
      <c r="H895" s="1">
        <v>45807</v>
      </c>
      <c r="I895">
        <f>YEAR(Table1[[#This Row],[Posting Date]])</f>
        <v>2025</v>
      </c>
      <c r="J895">
        <f>MONTH(Table1[[#This Row],[Posting Date]])</f>
        <v>5</v>
      </c>
      <c r="K895" t="str">
        <f>IF(Table1[[#This Row],[Type]]="IN",VLOOKUP(Table1[[#This Row],[Cust '#]],ClientInfo!$A:$D,4,0),"")</f>
        <v/>
      </c>
      <c r="L895" s="1" t="str">
        <f>IF(K895="NET30",Table1[[#This Row],[Posting Date]]+30,IF(K895="NET15",Table1[[#This Row],[Posting Date]]+15,IF(K895="COD",Table1[[#This Row],[Posting Date]],"")))</f>
        <v/>
      </c>
      <c r="M895" s="4" t="str">
        <f>IFERROR(IF(Table1[[#This Row],[Type]]="IN",Table1[[#This Row],[RC Date]]-Table1[[#This Row],[Posting Date]],""),"")</f>
        <v/>
      </c>
      <c r="N895">
        <f>IFERROR(IF(Table1[[#This Row],[Balance Due (LC)]]&lt;&gt;0,$S$1-L895,0),"")</f>
        <v>0</v>
      </c>
      <c r="O895" t="str">
        <f>IFERROR(IF(Table1[[#This Row],[Type]]="IN",Table1[[#This Row],[C/D (LC)]],IF(Table1[[#This Row],[Type]]="CN",Table1[[#This Row],[C/D (LC)]],"")),"")</f>
        <v/>
      </c>
      <c r="P895" t="str">
        <f>VLOOKUP(Table1[[#This Row],[Cust '#]],ClientInfo!$A:$B,2,0)</f>
        <v>Client_09</v>
      </c>
    </row>
    <row r="896" spans="1:16">
      <c r="A896" t="s">
        <v>115</v>
      </c>
      <c r="B896" t="s">
        <v>12</v>
      </c>
      <c r="C896">
        <v>140025336</v>
      </c>
      <c r="D896" s="1">
        <v>45808</v>
      </c>
      <c r="E896">
        <v>2128.4</v>
      </c>
      <c r="F896">
        <v>2128.4</v>
      </c>
      <c r="H896" s="1" t="s">
        <v>14</v>
      </c>
      <c r="I896">
        <f>YEAR(Table1[[#This Row],[Posting Date]])</f>
        <v>2025</v>
      </c>
      <c r="J896">
        <f>MONTH(Table1[[#This Row],[Posting Date]])</f>
        <v>5</v>
      </c>
      <c r="K896" t="str">
        <f>IF(Table1[[#This Row],[Type]]="IN",VLOOKUP(Table1[[#This Row],[Cust '#]],ClientInfo!$A:$D,4,0),"")</f>
        <v>NET30</v>
      </c>
      <c r="L896" s="1">
        <f>IF(K896="NET30",Table1[[#This Row],[Posting Date]]+30,IF(K896="NET15",Table1[[#This Row],[Posting Date]]+15,IF(K896="COD",Table1[[#This Row],[Posting Date]],"")))</f>
        <v>45838</v>
      </c>
      <c r="M896" s="4" t="str">
        <f>IFERROR(IF(Table1[[#This Row],[Type]]="IN",Table1[[#This Row],[RC Date]]-Table1[[#This Row],[Posting Date]],""),"")</f>
        <v/>
      </c>
      <c r="N896">
        <f>IFERROR(IF(Table1[[#This Row],[Balance Due (LC)]]&lt;&gt;0,$S$1-L896,0),"")</f>
        <v>-12</v>
      </c>
      <c r="O896">
        <f>IFERROR(IF(Table1[[#This Row],[Type]]="IN",Table1[[#This Row],[C/D (LC)]],IF(Table1[[#This Row],[Type]]="CN",Table1[[#This Row],[C/D (LC)]],"")),"")</f>
        <v>2128.4</v>
      </c>
      <c r="P896" t="str">
        <f>VLOOKUP(Table1[[#This Row],[Cust '#]],ClientInfo!$A:$B,2,0)</f>
        <v>Client_09</v>
      </c>
    </row>
    <row r="897" spans="1:16">
      <c r="A897" t="s">
        <v>115</v>
      </c>
      <c r="B897" t="s">
        <v>12</v>
      </c>
      <c r="C897">
        <v>140025675</v>
      </c>
      <c r="D897" s="1">
        <v>45817</v>
      </c>
      <c r="E897">
        <v>1948</v>
      </c>
      <c r="F897">
        <v>1948</v>
      </c>
      <c r="H897" s="1" t="s">
        <v>14</v>
      </c>
      <c r="I897">
        <f>YEAR(Table1[[#This Row],[Posting Date]])</f>
        <v>2025</v>
      </c>
      <c r="J897">
        <f>MONTH(Table1[[#This Row],[Posting Date]])</f>
        <v>6</v>
      </c>
      <c r="K897" t="str">
        <f>IF(Table1[[#This Row],[Type]]="IN",VLOOKUP(Table1[[#This Row],[Cust '#]],ClientInfo!$A:$D,4,0),"")</f>
        <v>NET30</v>
      </c>
      <c r="L897" s="1">
        <f>IF(K897="NET30",Table1[[#This Row],[Posting Date]]+30,IF(K897="NET15",Table1[[#This Row],[Posting Date]]+15,IF(K897="COD",Table1[[#This Row],[Posting Date]],"")))</f>
        <v>45847</v>
      </c>
      <c r="M897" s="4" t="str">
        <f>IFERROR(IF(Table1[[#This Row],[Type]]="IN",Table1[[#This Row],[RC Date]]-Table1[[#This Row],[Posting Date]],""),"")</f>
        <v/>
      </c>
      <c r="N897">
        <f>IFERROR(IF(Table1[[#This Row],[Balance Due (LC)]]&lt;&gt;0,$S$1-L897,0),"")</f>
        <v>-21</v>
      </c>
      <c r="O897">
        <f>IFERROR(IF(Table1[[#This Row],[Type]]="IN",Table1[[#This Row],[C/D (LC)]],IF(Table1[[#This Row],[Type]]="CN",Table1[[#This Row],[C/D (LC)]],"")),"")</f>
        <v>1948</v>
      </c>
      <c r="P897" t="str">
        <f>VLOOKUP(Table1[[#This Row],[Cust '#]],ClientInfo!$A:$B,2,0)</f>
        <v>Client_09</v>
      </c>
    </row>
    <row r="898" spans="1:16">
      <c r="A898" t="s">
        <v>116</v>
      </c>
      <c r="B898" t="s">
        <v>12</v>
      </c>
      <c r="C898">
        <v>140007929</v>
      </c>
      <c r="D898" s="1">
        <v>45428</v>
      </c>
      <c r="E898">
        <v>8818.39</v>
      </c>
      <c r="F898">
        <v>0</v>
      </c>
      <c r="G898">
        <v>700001143</v>
      </c>
      <c r="H898" s="1">
        <v>45491</v>
      </c>
      <c r="I898">
        <f>YEAR(Table1[[#This Row],[Posting Date]])</f>
        <v>2024</v>
      </c>
      <c r="J898">
        <f>MONTH(Table1[[#This Row],[Posting Date]])</f>
        <v>5</v>
      </c>
      <c r="K898" t="str">
        <f>IF(Table1[[#This Row],[Type]]="IN",VLOOKUP(Table1[[#This Row],[Cust '#]],ClientInfo!$A:$D,4,0),"")</f>
        <v>NET30</v>
      </c>
      <c r="L898" s="1">
        <f>IF(K898="NET30",Table1[[#This Row],[Posting Date]]+30,IF(K898="NET15",Table1[[#This Row],[Posting Date]]+15,IF(K898="COD",Table1[[#This Row],[Posting Date]],"")))</f>
        <v>45458</v>
      </c>
      <c r="M898" s="4">
        <f>IFERROR(IF(Table1[[#This Row],[Type]]="IN",Table1[[#This Row],[RC Date]]-Table1[[#This Row],[Posting Date]],""),"")</f>
        <v>63</v>
      </c>
      <c r="N898">
        <f>IFERROR(IF(Table1[[#This Row],[Balance Due (LC)]]&lt;&gt;0,$S$1-L898,0),"")</f>
        <v>0</v>
      </c>
      <c r="O898">
        <f>IFERROR(IF(Table1[[#This Row],[Type]]="IN",Table1[[#This Row],[C/D (LC)]],IF(Table1[[#This Row],[Type]]="CN",Table1[[#This Row],[C/D (LC)]],"")),"")</f>
        <v>8818.39</v>
      </c>
      <c r="P898" t="str">
        <f>VLOOKUP(Table1[[#This Row],[Cust '#]],ClientInfo!$A:$B,2,0)</f>
        <v>Client_10</v>
      </c>
    </row>
    <row r="899" spans="1:16">
      <c r="A899" t="s">
        <v>116</v>
      </c>
      <c r="B899" t="s">
        <v>12</v>
      </c>
      <c r="C899">
        <v>140008570</v>
      </c>
      <c r="D899" s="1">
        <v>45442</v>
      </c>
      <c r="E899">
        <v>9822.3700000000008</v>
      </c>
      <c r="F899">
        <v>0</v>
      </c>
      <c r="G899">
        <v>700001549</v>
      </c>
      <c r="H899" s="1">
        <v>45545</v>
      </c>
      <c r="I899">
        <f>YEAR(Table1[[#This Row],[Posting Date]])</f>
        <v>2024</v>
      </c>
      <c r="J899">
        <f>MONTH(Table1[[#This Row],[Posting Date]])</f>
        <v>5</v>
      </c>
      <c r="K899" t="str">
        <f>IF(Table1[[#This Row],[Type]]="IN",VLOOKUP(Table1[[#This Row],[Cust '#]],ClientInfo!$A:$D,4,0),"")</f>
        <v>NET30</v>
      </c>
      <c r="L899" s="1">
        <f>IF(K899="NET30",Table1[[#This Row],[Posting Date]]+30,IF(K899="NET15",Table1[[#This Row],[Posting Date]]+15,IF(K899="COD",Table1[[#This Row],[Posting Date]],"")))</f>
        <v>45472</v>
      </c>
      <c r="M899" s="4">
        <f>IFERROR(IF(Table1[[#This Row],[Type]]="IN",Table1[[#This Row],[RC Date]]-Table1[[#This Row],[Posting Date]],""),"")</f>
        <v>103</v>
      </c>
      <c r="N899">
        <f>IFERROR(IF(Table1[[#This Row],[Balance Due (LC)]]&lt;&gt;0,$S$1-L899,0),"")</f>
        <v>0</v>
      </c>
      <c r="O899">
        <f>IFERROR(IF(Table1[[#This Row],[Type]]="IN",Table1[[#This Row],[C/D (LC)]],IF(Table1[[#This Row],[Type]]="CN",Table1[[#This Row],[C/D (LC)]],"")),"")</f>
        <v>9822.3700000000008</v>
      </c>
      <c r="P899" t="str">
        <f>VLOOKUP(Table1[[#This Row],[Cust '#]],ClientInfo!$A:$B,2,0)</f>
        <v>Client_10</v>
      </c>
    </row>
    <row r="900" spans="1:16">
      <c r="A900" t="s">
        <v>116</v>
      </c>
      <c r="B900" t="s">
        <v>12</v>
      </c>
      <c r="C900">
        <v>140008863</v>
      </c>
      <c r="D900" s="1">
        <v>45449</v>
      </c>
      <c r="E900">
        <v>2988.5</v>
      </c>
      <c r="F900">
        <v>0</v>
      </c>
      <c r="G900">
        <v>140008867</v>
      </c>
      <c r="H900" s="1">
        <v>45449</v>
      </c>
      <c r="I900">
        <f>YEAR(Table1[[#This Row],[Posting Date]])</f>
        <v>2024</v>
      </c>
      <c r="J900">
        <f>MONTH(Table1[[#This Row],[Posting Date]])</f>
        <v>6</v>
      </c>
      <c r="K900" t="str">
        <f>IF(Table1[[#This Row],[Type]]="IN",VLOOKUP(Table1[[#This Row],[Cust '#]],ClientInfo!$A:$D,4,0),"")</f>
        <v>NET30</v>
      </c>
      <c r="L900" s="1">
        <f>IF(K900="NET30",Table1[[#This Row],[Posting Date]]+30,IF(K900="NET15",Table1[[#This Row],[Posting Date]]+15,IF(K900="COD",Table1[[#This Row],[Posting Date]],"")))</f>
        <v>45479</v>
      </c>
      <c r="M900" s="4">
        <f>IFERROR(IF(Table1[[#This Row],[Type]]="IN",Table1[[#This Row],[RC Date]]-Table1[[#This Row],[Posting Date]],""),"")</f>
        <v>0</v>
      </c>
      <c r="N900">
        <f>IFERROR(IF(Table1[[#This Row],[Balance Due (LC)]]&lt;&gt;0,$S$1-L900,0),"")</f>
        <v>0</v>
      </c>
      <c r="O900">
        <f>IFERROR(IF(Table1[[#This Row],[Type]]="IN",Table1[[#This Row],[C/D (LC)]],IF(Table1[[#This Row],[Type]]="CN",Table1[[#This Row],[C/D (LC)]],"")),"")</f>
        <v>2988.5</v>
      </c>
      <c r="P900" t="str">
        <f>VLOOKUP(Table1[[#This Row],[Cust '#]],ClientInfo!$A:$B,2,0)</f>
        <v>Client_10</v>
      </c>
    </row>
    <row r="901" spans="1:16">
      <c r="A901" t="s">
        <v>116</v>
      </c>
      <c r="B901" t="s">
        <v>12</v>
      </c>
      <c r="C901">
        <v>140008867</v>
      </c>
      <c r="D901" s="1">
        <v>45449</v>
      </c>
      <c r="E901">
        <v>-2988.5</v>
      </c>
      <c r="F901">
        <v>0</v>
      </c>
      <c r="G901">
        <v>140008867</v>
      </c>
      <c r="H901" s="1">
        <v>45449</v>
      </c>
      <c r="I901">
        <f>YEAR(Table1[[#This Row],[Posting Date]])</f>
        <v>2024</v>
      </c>
      <c r="J901">
        <f>MONTH(Table1[[#This Row],[Posting Date]])</f>
        <v>6</v>
      </c>
      <c r="K901" t="str">
        <f>IF(Table1[[#This Row],[Type]]="IN",VLOOKUP(Table1[[#This Row],[Cust '#]],ClientInfo!$A:$D,4,0),"")</f>
        <v>NET30</v>
      </c>
      <c r="L901" s="1">
        <f>IF(K901="NET30",Table1[[#This Row],[Posting Date]]+30,IF(K901="NET15",Table1[[#This Row],[Posting Date]]+15,IF(K901="COD",Table1[[#This Row],[Posting Date]],"")))</f>
        <v>45479</v>
      </c>
      <c r="M901" s="4">
        <f>IFERROR(IF(Table1[[#This Row],[Type]]="IN",Table1[[#This Row],[RC Date]]-Table1[[#This Row],[Posting Date]],""),"")</f>
        <v>0</v>
      </c>
      <c r="N901">
        <f>IFERROR(IF(Table1[[#This Row],[Balance Due (LC)]]&lt;&gt;0,$S$1-L901,0),"")</f>
        <v>0</v>
      </c>
      <c r="O901">
        <f>IFERROR(IF(Table1[[#This Row],[Type]]="IN",Table1[[#This Row],[C/D (LC)]],IF(Table1[[#This Row],[Type]]="CN",Table1[[#This Row],[C/D (LC)]],"")),"")</f>
        <v>-2988.5</v>
      </c>
      <c r="P901" t="str">
        <f>VLOOKUP(Table1[[#This Row],[Cust '#]],ClientInfo!$A:$B,2,0)</f>
        <v>Client_10</v>
      </c>
    </row>
    <row r="902" spans="1:16">
      <c r="A902" t="s">
        <v>116</v>
      </c>
      <c r="B902" t="s">
        <v>12</v>
      </c>
      <c r="C902">
        <v>140008868</v>
      </c>
      <c r="D902" s="1">
        <v>45449</v>
      </c>
      <c r="E902">
        <v>2988.5</v>
      </c>
      <c r="F902">
        <v>0</v>
      </c>
      <c r="G902">
        <v>700002227</v>
      </c>
      <c r="H902" s="1">
        <v>45636</v>
      </c>
      <c r="I902">
        <f>YEAR(Table1[[#This Row],[Posting Date]])</f>
        <v>2024</v>
      </c>
      <c r="J902">
        <f>MONTH(Table1[[#This Row],[Posting Date]])</f>
        <v>6</v>
      </c>
      <c r="K902" t="str">
        <f>IF(Table1[[#This Row],[Type]]="IN",VLOOKUP(Table1[[#This Row],[Cust '#]],ClientInfo!$A:$D,4,0),"")</f>
        <v>NET30</v>
      </c>
      <c r="L902" s="1">
        <f>IF(K902="NET30",Table1[[#This Row],[Posting Date]]+30,IF(K902="NET15",Table1[[#This Row],[Posting Date]]+15,IF(K902="COD",Table1[[#This Row],[Posting Date]],"")))</f>
        <v>45479</v>
      </c>
      <c r="M902" s="4">
        <f>IFERROR(IF(Table1[[#This Row],[Type]]="IN",Table1[[#This Row],[RC Date]]-Table1[[#This Row],[Posting Date]],""),"")</f>
        <v>187</v>
      </c>
      <c r="N902">
        <f>IFERROR(IF(Table1[[#This Row],[Balance Due (LC)]]&lt;&gt;0,$S$1-L902,0),"")</f>
        <v>0</v>
      </c>
      <c r="O902">
        <f>IFERROR(IF(Table1[[#This Row],[Type]]="IN",Table1[[#This Row],[C/D (LC)]],IF(Table1[[#This Row],[Type]]="CN",Table1[[#This Row],[C/D (LC)]],"")),"")</f>
        <v>2988.5</v>
      </c>
      <c r="P902" t="str">
        <f>VLOOKUP(Table1[[#This Row],[Cust '#]],ClientInfo!$A:$B,2,0)</f>
        <v>Client_10</v>
      </c>
    </row>
    <row r="903" spans="1:16">
      <c r="A903" t="s">
        <v>116</v>
      </c>
      <c r="B903" t="s">
        <v>12</v>
      </c>
      <c r="C903">
        <v>140008886</v>
      </c>
      <c r="D903" s="1">
        <v>45449</v>
      </c>
      <c r="E903">
        <v>40.799999999999997</v>
      </c>
      <c r="F903">
        <v>0</v>
      </c>
      <c r="G903">
        <v>700002227</v>
      </c>
      <c r="H903" s="1">
        <v>45636</v>
      </c>
      <c r="I903">
        <f>YEAR(Table1[[#This Row],[Posting Date]])</f>
        <v>2024</v>
      </c>
      <c r="J903">
        <f>MONTH(Table1[[#This Row],[Posting Date]])</f>
        <v>6</v>
      </c>
      <c r="K903" t="str">
        <f>IF(Table1[[#This Row],[Type]]="IN",VLOOKUP(Table1[[#This Row],[Cust '#]],ClientInfo!$A:$D,4,0),"")</f>
        <v>NET30</v>
      </c>
      <c r="L903" s="1">
        <f>IF(K903="NET30",Table1[[#This Row],[Posting Date]]+30,IF(K903="NET15",Table1[[#This Row],[Posting Date]]+15,IF(K903="COD",Table1[[#This Row],[Posting Date]],"")))</f>
        <v>45479</v>
      </c>
      <c r="M903" s="4">
        <f>IFERROR(IF(Table1[[#This Row],[Type]]="IN",Table1[[#This Row],[RC Date]]-Table1[[#This Row],[Posting Date]],""),"")</f>
        <v>187</v>
      </c>
      <c r="N903">
        <f>IFERROR(IF(Table1[[#This Row],[Balance Due (LC)]]&lt;&gt;0,$S$1-L903,0),"")</f>
        <v>0</v>
      </c>
      <c r="O903">
        <f>IFERROR(IF(Table1[[#This Row],[Type]]="IN",Table1[[#This Row],[C/D (LC)]],IF(Table1[[#This Row],[Type]]="CN",Table1[[#This Row],[C/D (LC)]],"")),"")</f>
        <v>40.799999999999997</v>
      </c>
      <c r="P903" t="str">
        <f>VLOOKUP(Table1[[#This Row],[Cust '#]],ClientInfo!$A:$B,2,0)</f>
        <v>Client_10</v>
      </c>
    </row>
    <row r="904" spans="1:16">
      <c r="A904" t="s">
        <v>116</v>
      </c>
      <c r="B904" t="s">
        <v>12</v>
      </c>
      <c r="C904">
        <v>140009086</v>
      </c>
      <c r="D904" s="1">
        <v>45454</v>
      </c>
      <c r="E904">
        <v>0</v>
      </c>
      <c r="F904">
        <v>0</v>
      </c>
      <c r="G904">
        <v>0</v>
      </c>
      <c r="H904" s="1" t="s">
        <v>14</v>
      </c>
      <c r="I904">
        <f>YEAR(Table1[[#This Row],[Posting Date]])</f>
        <v>2024</v>
      </c>
      <c r="J904">
        <f>MONTH(Table1[[#This Row],[Posting Date]])</f>
        <v>6</v>
      </c>
      <c r="K904" t="str">
        <f>IF(Table1[[#This Row],[Type]]="IN",VLOOKUP(Table1[[#This Row],[Cust '#]],ClientInfo!$A:$D,4,0),"")</f>
        <v>NET30</v>
      </c>
      <c r="L904" s="1">
        <f>IF(K904="NET30",Table1[[#This Row],[Posting Date]]+30,IF(K904="NET15",Table1[[#This Row],[Posting Date]]+15,IF(K904="COD",Table1[[#This Row],[Posting Date]],"")))</f>
        <v>45484</v>
      </c>
      <c r="M904" s="4" t="str">
        <f>IFERROR(IF(Table1[[#This Row],[Type]]="IN",Table1[[#This Row],[RC Date]]-Table1[[#This Row],[Posting Date]],""),"")</f>
        <v/>
      </c>
      <c r="N904">
        <f>IFERROR(IF(Table1[[#This Row],[Balance Due (LC)]]&lt;&gt;0,$S$1-L904,0),"")</f>
        <v>0</v>
      </c>
      <c r="O904">
        <f>IFERROR(IF(Table1[[#This Row],[Type]]="IN",Table1[[#This Row],[C/D (LC)]],IF(Table1[[#This Row],[Type]]="CN",Table1[[#This Row],[C/D (LC)]],"")),"")</f>
        <v>0</v>
      </c>
      <c r="P904" t="str">
        <f>VLOOKUP(Table1[[#This Row],[Cust '#]],ClientInfo!$A:$B,2,0)</f>
        <v>Client_10</v>
      </c>
    </row>
    <row r="905" spans="1:16">
      <c r="A905" t="s">
        <v>116</v>
      </c>
      <c r="B905" t="s">
        <v>12</v>
      </c>
      <c r="C905">
        <v>140010488</v>
      </c>
      <c r="D905" s="1">
        <v>45484</v>
      </c>
      <c r="E905">
        <v>1198.79</v>
      </c>
      <c r="F905">
        <v>0</v>
      </c>
      <c r="G905">
        <v>700001549</v>
      </c>
      <c r="H905" s="1">
        <v>45545</v>
      </c>
      <c r="I905">
        <f>YEAR(Table1[[#This Row],[Posting Date]])</f>
        <v>2024</v>
      </c>
      <c r="J905">
        <f>MONTH(Table1[[#This Row],[Posting Date]])</f>
        <v>7</v>
      </c>
      <c r="K905" t="str">
        <f>IF(Table1[[#This Row],[Type]]="IN",VLOOKUP(Table1[[#This Row],[Cust '#]],ClientInfo!$A:$D,4,0),"")</f>
        <v>NET30</v>
      </c>
      <c r="L905" s="1">
        <f>IF(K905="NET30",Table1[[#This Row],[Posting Date]]+30,IF(K905="NET15",Table1[[#This Row],[Posting Date]]+15,IF(K905="COD",Table1[[#This Row],[Posting Date]],"")))</f>
        <v>45514</v>
      </c>
      <c r="M905" s="4">
        <f>IFERROR(IF(Table1[[#This Row],[Type]]="IN",Table1[[#This Row],[RC Date]]-Table1[[#This Row],[Posting Date]],""),"")</f>
        <v>61</v>
      </c>
      <c r="N905">
        <f>IFERROR(IF(Table1[[#This Row],[Balance Due (LC)]]&lt;&gt;0,$S$1-L905,0),"")</f>
        <v>0</v>
      </c>
      <c r="O905">
        <f>IFERROR(IF(Table1[[#This Row],[Type]]="IN",Table1[[#This Row],[C/D (LC)]],IF(Table1[[#This Row],[Type]]="CN",Table1[[#This Row],[C/D (LC)]],"")),"")</f>
        <v>1198.79</v>
      </c>
      <c r="P905" t="str">
        <f>VLOOKUP(Table1[[#This Row],[Cust '#]],ClientInfo!$A:$B,2,0)</f>
        <v>Client_10</v>
      </c>
    </row>
    <row r="906" spans="1:16">
      <c r="A906" t="s">
        <v>116</v>
      </c>
      <c r="B906" t="s">
        <v>10</v>
      </c>
      <c r="C906">
        <v>700001143</v>
      </c>
      <c r="D906" s="1">
        <v>45491</v>
      </c>
      <c r="E906">
        <v>-8758.41</v>
      </c>
      <c r="F906">
        <v>0</v>
      </c>
      <c r="G906">
        <v>700001143</v>
      </c>
      <c r="H906" s="1">
        <v>45491</v>
      </c>
      <c r="I906">
        <f>YEAR(Table1[[#This Row],[Posting Date]])</f>
        <v>2024</v>
      </c>
      <c r="J906">
        <f>MONTH(Table1[[#This Row],[Posting Date]])</f>
        <v>7</v>
      </c>
      <c r="K906" t="str">
        <f>IF(Table1[[#This Row],[Type]]="IN",VLOOKUP(Table1[[#This Row],[Cust '#]],ClientInfo!$A:$D,4,0),"")</f>
        <v/>
      </c>
      <c r="L906" s="1" t="str">
        <f>IF(K906="NET30",Table1[[#This Row],[Posting Date]]+30,IF(K906="NET15",Table1[[#This Row],[Posting Date]]+15,IF(K906="COD",Table1[[#This Row],[Posting Date]],"")))</f>
        <v/>
      </c>
      <c r="M906" s="4" t="str">
        <f>IFERROR(IF(Table1[[#This Row],[Type]]="IN",Table1[[#This Row],[RC Date]]-Table1[[#This Row],[Posting Date]],""),"")</f>
        <v/>
      </c>
      <c r="N906">
        <f>IFERROR(IF(Table1[[#This Row],[Balance Due (LC)]]&lt;&gt;0,$S$1-L906,0),"")</f>
        <v>0</v>
      </c>
      <c r="O906" t="str">
        <f>IFERROR(IF(Table1[[#This Row],[Type]]="IN",Table1[[#This Row],[C/D (LC)]],IF(Table1[[#This Row],[Type]]="CN",Table1[[#This Row],[C/D (LC)]],"")),"")</f>
        <v/>
      </c>
      <c r="P906" t="str">
        <f>VLOOKUP(Table1[[#This Row],[Cust '#]],ClientInfo!$A:$B,2,0)</f>
        <v>Client_10</v>
      </c>
    </row>
    <row r="907" spans="1:16">
      <c r="A907" t="s">
        <v>116</v>
      </c>
      <c r="B907" t="s">
        <v>13</v>
      </c>
      <c r="C907">
        <v>150000466</v>
      </c>
      <c r="D907" s="1">
        <v>45497</v>
      </c>
      <c r="E907">
        <v>-158.09</v>
      </c>
      <c r="F907">
        <v>0</v>
      </c>
      <c r="G907">
        <v>700001549</v>
      </c>
      <c r="H907" s="1">
        <v>45545</v>
      </c>
      <c r="I907">
        <f>YEAR(Table1[[#This Row],[Posting Date]])</f>
        <v>2024</v>
      </c>
      <c r="J907">
        <f>MONTH(Table1[[#This Row],[Posting Date]])</f>
        <v>7</v>
      </c>
      <c r="K907" t="str">
        <f>IF(Table1[[#This Row],[Type]]="IN",VLOOKUP(Table1[[#This Row],[Cust '#]],ClientInfo!$A:$D,4,0),"")</f>
        <v/>
      </c>
      <c r="L907" s="1" t="str">
        <f>IF(K907="NET30",Table1[[#This Row],[Posting Date]]+30,IF(K907="NET15",Table1[[#This Row],[Posting Date]]+15,IF(K907="COD",Table1[[#This Row],[Posting Date]],"")))</f>
        <v/>
      </c>
      <c r="M907" s="4" t="str">
        <f>IFERROR(IF(Table1[[#This Row],[Type]]="IN",Table1[[#This Row],[RC Date]]-Table1[[#This Row],[Posting Date]],""),"")</f>
        <v/>
      </c>
      <c r="N907">
        <f>IFERROR(IF(Table1[[#This Row],[Balance Due (LC)]]&lt;&gt;0,$S$1-L907,0),"")</f>
        <v>0</v>
      </c>
      <c r="O907">
        <f>IFERROR(IF(Table1[[#This Row],[Type]]="IN",Table1[[#This Row],[C/D (LC)]],IF(Table1[[#This Row],[Type]]="CN",Table1[[#This Row],[C/D (LC)]],"")),"")</f>
        <v>-158.09</v>
      </c>
      <c r="P907" t="str">
        <f>VLOOKUP(Table1[[#This Row],[Cust '#]],ClientInfo!$A:$B,2,0)</f>
        <v>Client_10</v>
      </c>
    </row>
    <row r="908" spans="1:16">
      <c r="A908" t="s">
        <v>116</v>
      </c>
      <c r="B908" t="s">
        <v>12</v>
      </c>
      <c r="C908">
        <v>140011104</v>
      </c>
      <c r="D908" s="1">
        <v>45498</v>
      </c>
      <c r="E908">
        <v>888.2</v>
      </c>
      <c r="F908">
        <v>0</v>
      </c>
      <c r="G908">
        <v>700002227</v>
      </c>
      <c r="H908" s="1">
        <v>45636</v>
      </c>
      <c r="I908">
        <f>YEAR(Table1[[#This Row],[Posting Date]])</f>
        <v>2024</v>
      </c>
      <c r="J908">
        <f>MONTH(Table1[[#This Row],[Posting Date]])</f>
        <v>7</v>
      </c>
      <c r="K908" t="str">
        <f>IF(Table1[[#This Row],[Type]]="IN",VLOOKUP(Table1[[#This Row],[Cust '#]],ClientInfo!$A:$D,4,0),"")</f>
        <v>NET30</v>
      </c>
      <c r="L908" s="1">
        <f>IF(K908="NET30",Table1[[#This Row],[Posting Date]]+30,IF(K908="NET15",Table1[[#This Row],[Posting Date]]+15,IF(K908="COD",Table1[[#This Row],[Posting Date]],"")))</f>
        <v>45528</v>
      </c>
      <c r="M908" s="4">
        <f>IFERROR(IF(Table1[[#This Row],[Type]]="IN",Table1[[#This Row],[RC Date]]-Table1[[#This Row],[Posting Date]],""),"")</f>
        <v>138</v>
      </c>
      <c r="N908">
        <f>IFERROR(IF(Table1[[#This Row],[Balance Due (LC)]]&lt;&gt;0,$S$1-L908,0),"")</f>
        <v>0</v>
      </c>
      <c r="O908">
        <f>IFERROR(IF(Table1[[#This Row],[Type]]="IN",Table1[[#This Row],[C/D (LC)]],IF(Table1[[#This Row],[Type]]="CN",Table1[[#This Row],[C/D (LC)]],"")),"")</f>
        <v>888.2</v>
      </c>
      <c r="P908" t="str">
        <f>VLOOKUP(Table1[[#This Row],[Cust '#]],ClientInfo!$A:$B,2,0)</f>
        <v>Client_10</v>
      </c>
    </row>
    <row r="909" spans="1:16">
      <c r="A909" t="s">
        <v>116</v>
      </c>
      <c r="B909" t="s">
        <v>12</v>
      </c>
      <c r="C909">
        <v>140011181</v>
      </c>
      <c r="D909" s="1">
        <v>45499</v>
      </c>
      <c r="E909">
        <v>1529.66</v>
      </c>
      <c r="F909">
        <v>0</v>
      </c>
      <c r="G909">
        <v>700002226</v>
      </c>
      <c r="H909" s="1">
        <v>45636</v>
      </c>
      <c r="I909">
        <f>YEAR(Table1[[#This Row],[Posting Date]])</f>
        <v>2024</v>
      </c>
      <c r="J909">
        <f>MONTH(Table1[[#This Row],[Posting Date]])</f>
        <v>7</v>
      </c>
      <c r="K909" t="str">
        <f>IF(Table1[[#This Row],[Type]]="IN",VLOOKUP(Table1[[#This Row],[Cust '#]],ClientInfo!$A:$D,4,0),"")</f>
        <v>NET30</v>
      </c>
      <c r="L909" s="1">
        <f>IF(K909="NET30",Table1[[#This Row],[Posting Date]]+30,IF(K909="NET15",Table1[[#This Row],[Posting Date]]+15,IF(K909="COD",Table1[[#This Row],[Posting Date]],"")))</f>
        <v>45529</v>
      </c>
      <c r="M909" s="4">
        <f>IFERROR(IF(Table1[[#This Row],[Type]]="IN",Table1[[#This Row],[RC Date]]-Table1[[#This Row],[Posting Date]],""),"")</f>
        <v>137</v>
      </c>
      <c r="N909">
        <f>IFERROR(IF(Table1[[#This Row],[Balance Due (LC)]]&lt;&gt;0,$S$1-L909,0),"")</f>
        <v>0</v>
      </c>
      <c r="O909">
        <f>IFERROR(IF(Table1[[#This Row],[Type]]="IN",Table1[[#This Row],[C/D (LC)]],IF(Table1[[#This Row],[Type]]="CN",Table1[[#This Row],[C/D (LC)]],"")),"")</f>
        <v>1529.66</v>
      </c>
      <c r="P909" t="str">
        <f>VLOOKUP(Table1[[#This Row],[Cust '#]],ClientInfo!$A:$B,2,0)</f>
        <v>Client_10</v>
      </c>
    </row>
    <row r="910" spans="1:16">
      <c r="A910" t="s">
        <v>116</v>
      </c>
      <c r="B910" t="s">
        <v>12</v>
      </c>
      <c r="C910">
        <v>140011755</v>
      </c>
      <c r="D910" s="1">
        <v>45512</v>
      </c>
      <c r="E910">
        <v>3355.69</v>
      </c>
      <c r="F910">
        <v>0</v>
      </c>
      <c r="G910">
        <v>700002225</v>
      </c>
      <c r="H910" s="1">
        <v>45636</v>
      </c>
      <c r="I910">
        <f>YEAR(Table1[[#This Row],[Posting Date]])</f>
        <v>2024</v>
      </c>
      <c r="J910">
        <f>MONTH(Table1[[#This Row],[Posting Date]])</f>
        <v>8</v>
      </c>
      <c r="K910" t="str">
        <f>IF(Table1[[#This Row],[Type]]="IN",VLOOKUP(Table1[[#This Row],[Cust '#]],ClientInfo!$A:$D,4,0),"")</f>
        <v>NET30</v>
      </c>
      <c r="L910" s="1">
        <f>IF(K910="NET30",Table1[[#This Row],[Posting Date]]+30,IF(K910="NET15",Table1[[#This Row],[Posting Date]]+15,IF(K910="COD",Table1[[#This Row],[Posting Date]],"")))</f>
        <v>45542</v>
      </c>
      <c r="M910" s="4">
        <f>IFERROR(IF(Table1[[#This Row],[Type]]="IN",Table1[[#This Row],[RC Date]]-Table1[[#This Row],[Posting Date]],""),"")</f>
        <v>124</v>
      </c>
      <c r="N910">
        <f>IFERROR(IF(Table1[[#This Row],[Balance Due (LC)]]&lt;&gt;0,$S$1-L910,0),"")</f>
        <v>0</v>
      </c>
      <c r="O910">
        <f>IFERROR(IF(Table1[[#This Row],[Type]]="IN",Table1[[#This Row],[C/D (LC)]],IF(Table1[[#This Row],[Type]]="CN",Table1[[#This Row],[C/D (LC)]],"")),"")</f>
        <v>3355.69</v>
      </c>
      <c r="P910" t="str">
        <f>VLOOKUP(Table1[[#This Row],[Cust '#]],ClientInfo!$A:$B,2,0)</f>
        <v>Client_10</v>
      </c>
    </row>
    <row r="911" spans="1:16">
      <c r="A911" t="s">
        <v>116</v>
      </c>
      <c r="B911" t="s">
        <v>12</v>
      </c>
      <c r="C911">
        <v>140013010</v>
      </c>
      <c r="D911" s="1">
        <v>45540</v>
      </c>
      <c r="E911">
        <v>5389.4</v>
      </c>
      <c r="F911">
        <v>0</v>
      </c>
      <c r="G911">
        <v>700002226</v>
      </c>
      <c r="H911" s="1">
        <v>45636</v>
      </c>
      <c r="I911">
        <f>YEAR(Table1[[#This Row],[Posting Date]])</f>
        <v>2024</v>
      </c>
      <c r="J911">
        <f>MONTH(Table1[[#This Row],[Posting Date]])</f>
        <v>9</v>
      </c>
      <c r="K911" t="str">
        <f>IF(Table1[[#This Row],[Type]]="IN",VLOOKUP(Table1[[#This Row],[Cust '#]],ClientInfo!$A:$D,4,0),"")</f>
        <v>NET30</v>
      </c>
      <c r="L911" s="1">
        <f>IF(K911="NET30",Table1[[#This Row],[Posting Date]]+30,IF(K911="NET15",Table1[[#This Row],[Posting Date]]+15,IF(K911="COD",Table1[[#This Row],[Posting Date]],"")))</f>
        <v>45570</v>
      </c>
      <c r="M911" s="4">
        <f>IFERROR(IF(Table1[[#This Row],[Type]]="IN",Table1[[#This Row],[RC Date]]-Table1[[#This Row],[Posting Date]],""),"")</f>
        <v>96</v>
      </c>
      <c r="N911">
        <f>IFERROR(IF(Table1[[#This Row],[Balance Due (LC)]]&lt;&gt;0,$S$1-L911,0),"")</f>
        <v>0</v>
      </c>
      <c r="O911">
        <f>IFERROR(IF(Table1[[#This Row],[Type]]="IN",Table1[[#This Row],[C/D (LC)]],IF(Table1[[#This Row],[Type]]="CN",Table1[[#This Row],[C/D (LC)]],"")),"")</f>
        <v>5389.4</v>
      </c>
      <c r="P911" t="str">
        <f>VLOOKUP(Table1[[#This Row],[Cust '#]],ClientInfo!$A:$B,2,0)</f>
        <v>Client_10</v>
      </c>
    </row>
    <row r="912" spans="1:16">
      <c r="A912" t="s">
        <v>116</v>
      </c>
      <c r="B912" t="s">
        <v>10</v>
      </c>
      <c r="C912">
        <v>700001549</v>
      </c>
      <c r="D912" s="1">
        <v>45545</v>
      </c>
      <c r="E912">
        <v>-10863.07</v>
      </c>
      <c r="F912">
        <v>0</v>
      </c>
      <c r="G912">
        <v>700001549</v>
      </c>
      <c r="H912" s="1">
        <v>45545</v>
      </c>
      <c r="I912">
        <f>YEAR(Table1[[#This Row],[Posting Date]])</f>
        <v>2024</v>
      </c>
      <c r="J912">
        <f>MONTH(Table1[[#This Row],[Posting Date]])</f>
        <v>9</v>
      </c>
      <c r="K912" t="str">
        <f>IF(Table1[[#This Row],[Type]]="IN",VLOOKUP(Table1[[#This Row],[Cust '#]],ClientInfo!$A:$D,4,0),"")</f>
        <v/>
      </c>
      <c r="L912" s="1" t="str">
        <f>IF(K912="NET30",Table1[[#This Row],[Posting Date]]+30,IF(K912="NET15",Table1[[#This Row],[Posting Date]]+15,IF(K912="COD",Table1[[#This Row],[Posting Date]],"")))</f>
        <v/>
      </c>
      <c r="M912" s="4" t="str">
        <f>IFERROR(IF(Table1[[#This Row],[Type]]="IN",Table1[[#This Row],[RC Date]]-Table1[[#This Row],[Posting Date]],""),"")</f>
        <v/>
      </c>
      <c r="N912">
        <f>IFERROR(IF(Table1[[#This Row],[Balance Due (LC)]]&lt;&gt;0,$S$1-L912,0),"")</f>
        <v>0</v>
      </c>
      <c r="O912" t="str">
        <f>IFERROR(IF(Table1[[#This Row],[Type]]="IN",Table1[[#This Row],[C/D (LC)]],IF(Table1[[#This Row],[Type]]="CN",Table1[[#This Row],[C/D (LC)]],"")),"")</f>
        <v/>
      </c>
      <c r="P912" t="str">
        <f>VLOOKUP(Table1[[#This Row],[Cust '#]],ClientInfo!$A:$B,2,0)</f>
        <v>Client_10</v>
      </c>
    </row>
    <row r="913" spans="1:16">
      <c r="A913" t="s">
        <v>116</v>
      </c>
      <c r="B913" t="s">
        <v>12</v>
      </c>
      <c r="C913">
        <v>140013994</v>
      </c>
      <c r="D913" s="1">
        <v>45561</v>
      </c>
      <c r="E913">
        <v>159</v>
      </c>
      <c r="F913">
        <v>0</v>
      </c>
      <c r="G913">
        <v>700002227</v>
      </c>
      <c r="H913" s="1">
        <v>45636</v>
      </c>
      <c r="I913">
        <f>YEAR(Table1[[#This Row],[Posting Date]])</f>
        <v>2024</v>
      </c>
      <c r="J913">
        <f>MONTH(Table1[[#This Row],[Posting Date]])</f>
        <v>9</v>
      </c>
      <c r="K913" t="str">
        <f>IF(Table1[[#This Row],[Type]]="IN",VLOOKUP(Table1[[#This Row],[Cust '#]],ClientInfo!$A:$D,4,0),"")</f>
        <v>NET30</v>
      </c>
      <c r="L913" s="1">
        <f>IF(K913="NET30",Table1[[#This Row],[Posting Date]]+30,IF(K913="NET15",Table1[[#This Row],[Posting Date]]+15,IF(K913="COD",Table1[[#This Row],[Posting Date]],"")))</f>
        <v>45591</v>
      </c>
      <c r="M913" s="4">
        <f>IFERROR(IF(Table1[[#This Row],[Type]]="IN",Table1[[#This Row],[RC Date]]-Table1[[#This Row],[Posting Date]],""),"")</f>
        <v>75</v>
      </c>
      <c r="N913">
        <f>IFERROR(IF(Table1[[#This Row],[Balance Due (LC)]]&lt;&gt;0,$S$1-L913,0),"")</f>
        <v>0</v>
      </c>
      <c r="O913">
        <f>IFERROR(IF(Table1[[#This Row],[Type]]="IN",Table1[[#This Row],[C/D (LC)]],IF(Table1[[#This Row],[Type]]="CN",Table1[[#This Row],[C/D (LC)]],"")),"")</f>
        <v>159</v>
      </c>
      <c r="P913" t="str">
        <f>VLOOKUP(Table1[[#This Row],[Cust '#]],ClientInfo!$A:$B,2,0)</f>
        <v>Client_10</v>
      </c>
    </row>
    <row r="914" spans="1:16">
      <c r="A914" t="s">
        <v>116</v>
      </c>
      <c r="B914" t="s">
        <v>12</v>
      </c>
      <c r="C914">
        <v>140014011</v>
      </c>
      <c r="D914" s="1">
        <v>45561</v>
      </c>
      <c r="E914">
        <v>5698.14</v>
      </c>
      <c r="F914">
        <v>0</v>
      </c>
      <c r="G914">
        <v>700002226</v>
      </c>
      <c r="H914" s="1">
        <v>45636</v>
      </c>
      <c r="I914">
        <f>YEAR(Table1[[#This Row],[Posting Date]])</f>
        <v>2024</v>
      </c>
      <c r="J914">
        <f>MONTH(Table1[[#This Row],[Posting Date]])</f>
        <v>9</v>
      </c>
      <c r="K914" t="str">
        <f>IF(Table1[[#This Row],[Type]]="IN",VLOOKUP(Table1[[#This Row],[Cust '#]],ClientInfo!$A:$D,4,0),"")</f>
        <v>NET30</v>
      </c>
      <c r="L914" s="1">
        <f>IF(K914="NET30",Table1[[#This Row],[Posting Date]]+30,IF(K914="NET15",Table1[[#This Row],[Posting Date]]+15,IF(K914="COD",Table1[[#This Row],[Posting Date]],"")))</f>
        <v>45591</v>
      </c>
      <c r="M914" s="4">
        <f>IFERROR(IF(Table1[[#This Row],[Type]]="IN",Table1[[#This Row],[RC Date]]-Table1[[#This Row],[Posting Date]],""),"")</f>
        <v>75</v>
      </c>
      <c r="N914">
        <f>IFERROR(IF(Table1[[#This Row],[Balance Due (LC)]]&lt;&gt;0,$S$1-L914,0),"")</f>
        <v>0</v>
      </c>
      <c r="O914">
        <f>IFERROR(IF(Table1[[#This Row],[Type]]="IN",Table1[[#This Row],[C/D (LC)]],IF(Table1[[#This Row],[Type]]="CN",Table1[[#This Row],[C/D (LC)]],"")),"")</f>
        <v>5698.14</v>
      </c>
      <c r="P914" t="str">
        <f>VLOOKUP(Table1[[#This Row],[Cust '#]],ClientInfo!$A:$B,2,0)</f>
        <v>Client_10</v>
      </c>
    </row>
    <row r="915" spans="1:16">
      <c r="A915" t="s">
        <v>116</v>
      </c>
      <c r="B915" t="s">
        <v>13</v>
      </c>
      <c r="C915">
        <v>150000707</v>
      </c>
      <c r="D915" s="1">
        <v>45610</v>
      </c>
      <c r="E915">
        <v>-52</v>
      </c>
      <c r="F915">
        <v>-52</v>
      </c>
      <c r="G915">
        <v>140014011</v>
      </c>
      <c r="H915" s="1">
        <v>45561</v>
      </c>
      <c r="I915">
        <f>YEAR(Table1[[#This Row],[Posting Date]])</f>
        <v>2024</v>
      </c>
      <c r="J915">
        <f>MONTH(Table1[[#This Row],[Posting Date]])</f>
        <v>11</v>
      </c>
      <c r="K915" t="str">
        <f>IF(Table1[[#This Row],[Type]]="IN",VLOOKUP(Table1[[#This Row],[Cust '#]],ClientInfo!$A:$D,4,0),"")</f>
        <v/>
      </c>
      <c r="L915" s="1" t="str">
        <f>IF(K915="NET30",Table1[[#This Row],[Posting Date]]+30,IF(K915="NET15",Table1[[#This Row],[Posting Date]]+15,IF(K915="COD",Table1[[#This Row],[Posting Date]],"")))</f>
        <v/>
      </c>
      <c r="M915" s="4" t="str">
        <f>IFERROR(IF(Table1[[#This Row],[Type]]="IN",Table1[[#This Row],[RC Date]]-Table1[[#This Row],[Posting Date]],""),"")</f>
        <v/>
      </c>
      <c r="N915" t="str">
        <f>IFERROR(IF(Table1[[#This Row],[Balance Due (LC)]]&lt;&gt;0,$S$1-L915,0),"")</f>
        <v/>
      </c>
      <c r="O915">
        <f>IFERROR(IF(Table1[[#This Row],[Type]]="IN",Table1[[#This Row],[C/D (LC)]],IF(Table1[[#This Row],[Type]]="CN",Table1[[#This Row],[C/D (LC)]],"")),"")</f>
        <v>-52</v>
      </c>
      <c r="P915" t="str">
        <f>VLOOKUP(Table1[[#This Row],[Cust '#]],ClientInfo!$A:$B,2,0)</f>
        <v>Client_10</v>
      </c>
    </row>
    <row r="916" spans="1:16">
      <c r="A916" t="s">
        <v>116</v>
      </c>
      <c r="B916" t="s">
        <v>12</v>
      </c>
      <c r="C916">
        <v>140016715</v>
      </c>
      <c r="D916" s="1">
        <v>45617</v>
      </c>
      <c r="E916">
        <v>5905.02</v>
      </c>
      <c r="F916">
        <v>0</v>
      </c>
      <c r="G916">
        <v>700002580</v>
      </c>
      <c r="H916" s="1">
        <v>45680</v>
      </c>
      <c r="I916">
        <f>YEAR(Table1[[#This Row],[Posting Date]])</f>
        <v>2024</v>
      </c>
      <c r="J916">
        <f>MONTH(Table1[[#This Row],[Posting Date]])</f>
        <v>11</v>
      </c>
      <c r="K916" t="str">
        <f>IF(Table1[[#This Row],[Type]]="IN",VLOOKUP(Table1[[#This Row],[Cust '#]],ClientInfo!$A:$D,4,0),"")</f>
        <v>NET30</v>
      </c>
      <c r="L916" s="1">
        <f>IF(K916="NET30",Table1[[#This Row],[Posting Date]]+30,IF(K916="NET15",Table1[[#This Row],[Posting Date]]+15,IF(K916="COD",Table1[[#This Row],[Posting Date]],"")))</f>
        <v>45647</v>
      </c>
      <c r="M916" s="4">
        <f>IFERROR(IF(Table1[[#This Row],[Type]]="IN",Table1[[#This Row],[RC Date]]-Table1[[#This Row],[Posting Date]],""),"")</f>
        <v>63</v>
      </c>
      <c r="N916">
        <f>IFERROR(IF(Table1[[#This Row],[Balance Due (LC)]]&lt;&gt;0,$S$1-L916,0),"")</f>
        <v>0</v>
      </c>
      <c r="O916">
        <f>IFERROR(IF(Table1[[#This Row],[Type]]="IN",Table1[[#This Row],[C/D (LC)]],IF(Table1[[#This Row],[Type]]="CN",Table1[[#This Row],[C/D (LC)]],"")),"")</f>
        <v>5905.02</v>
      </c>
      <c r="P916" t="str">
        <f>VLOOKUP(Table1[[#This Row],[Cust '#]],ClientInfo!$A:$B,2,0)</f>
        <v>Client_10</v>
      </c>
    </row>
    <row r="917" spans="1:16">
      <c r="A917" t="s">
        <v>116</v>
      </c>
      <c r="B917" t="s">
        <v>10</v>
      </c>
      <c r="C917">
        <v>700002225</v>
      </c>
      <c r="D917" s="1">
        <v>45636</v>
      </c>
      <c r="E917">
        <v>-3355.69</v>
      </c>
      <c r="F917">
        <v>0</v>
      </c>
      <c r="G917">
        <v>700002225</v>
      </c>
      <c r="H917" s="1">
        <v>45636</v>
      </c>
      <c r="I917">
        <f>YEAR(Table1[[#This Row],[Posting Date]])</f>
        <v>2024</v>
      </c>
      <c r="J917">
        <f>MONTH(Table1[[#This Row],[Posting Date]])</f>
        <v>12</v>
      </c>
      <c r="K917" t="str">
        <f>IF(Table1[[#This Row],[Type]]="IN",VLOOKUP(Table1[[#This Row],[Cust '#]],ClientInfo!$A:$D,4,0),"")</f>
        <v/>
      </c>
      <c r="L917" s="1" t="str">
        <f>IF(K917="NET30",Table1[[#This Row],[Posting Date]]+30,IF(K917="NET15",Table1[[#This Row],[Posting Date]]+15,IF(K917="COD",Table1[[#This Row],[Posting Date]],"")))</f>
        <v/>
      </c>
      <c r="M917" s="4" t="str">
        <f>IFERROR(IF(Table1[[#This Row],[Type]]="IN",Table1[[#This Row],[RC Date]]-Table1[[#This Row],[Posting Date]],""),"")</f>
        <v/>
      </c>
      <c r="N917">
        <f>IFERROR(IF(Table1[[#This Row],[Balance Due (LC)]]&lt;&gt;0,$S$1-L917,0),"")</f>
        <v>0</v>
      </c>
      <c r="O917" t="str">
        <f>IFERROR(IF(Table1[[#This Row],[Type]]="IN",Table1[[#This Row],[C/D (LC)]],IF(Table1[[#This Row],[Type]]="CN",Table1[[#This Row],[C/D (LC)]],"")),"")</f>
        <v/>
      </c>
      <c r="P917" t="str">
        <f>VLOOKUP(Table1[[#This Row],[Cust '#]],ClientInfo!$A:$B,2,0)</f>
        <v>Client_10</v>
      </c>
    </row>
    <row r="918" spans="1:16">
      <c r="A918" t="s">
        <v>116</v>
      </c>
      <c r="B918" t="s">
        <v>10</v>
      </c>
      <c r="C918">
        <v>700002226</v>
      </c>
      <c r="D918" s="1">
        <v>45636</v>
      </c>
      <c r="E918">
        <v>-12617.2</v>
      </c>
      <c r="F918">
        <v>0</v>
      </c>
      <c r="G918">
        <v>700002226</v>
      </c>
      <c r="H918" s="1">
        <v>45636</v>
      </c>
      <c r="I918">
        <f>YEAR(Table1[[#This Row],[Posting Date]])</f>
        <v>2024</v>
      </c>
      <c r="J918">
        <f>MONTH(Table1[[#This Row],[Posting Date]])</f>
        <v>12</v>
      </c>
      <c r="K918" t="str">
        <f>IF(Table1[[#This Row],[Type]]="IN",VLOOKUP(Table1[[#This Row],[Cust '#]],ClientInfo!$A:$D,4,0),"")</f>
        <v/>
      </c>
      <c r="L918" s="1" t="str">
        <f>IF(K918="NET30",Table1[[#This Row],[Posting Date]]+30,IF(K918="NET15",Table1[[#This Row],[Posting Date]]+15,IF(K918="COD",Table1[[#This Row],[Posting Date]],"")))</f>
        <v/>
      </c>
      <c r="M918" s="4" t="str">
        <f>IFERROR(IF(Table1[[#This Row],[Type]]="IN",Table1[[#This Row],[RC Date]]-Table1[[#This Row],[Posting Date]],""),"")</f>
        <v/>
      </c>
      <c r="N918">
        <f>IFERROR(IF(Table1[[#This Row],[Balance Due (LC)]]&lt;&gt;0,$S$1-L918,0),"")</f>
        <v>0</v>
      </c>
      <c r="O918" t="str">
        <f>IFERROR(IF(Table1[[#This Row],[Type]]="IN",Table1[[#This Row],[C/D (LC)]],IF(Table1[[#This Row],[Type]]="CN",Table1[[#This Row],[C/D (LC)]],"")),"")</f>
        <v/>
      </c>
      <c r="P918" t="str">
        <f>VLOOKUP(Table1[[#This Row],[Cust '#]],ClientInfo!$A:$B,2,0)</f>
        <v>Client_10</v>
      </c>
    </row>
    <row r="919" spans="1:16">
      <c r="A919" t="s">
        <v>116</v>
      </c>
      <c r="B919" t="s">
        <v>10</v>
      </c>
      <c r="C919">
        <v>700002227</v>
      </c>
      <c r="D919" s="1">
        <v>45636</v>
      </c>
      <c r="E919">
        <v>-4076.5</v>
      </c>
      <c r="F919">
        <v>0</v>
      </c>
      <c r="G919">
        <v>700002227</v>
      </c>
      <c r="H919" s="1">
        <v>45636</v>
      </c>
      <c r="I919">
        <f>YEAR(Table1[[#This Row],[Posting Date]])</f>
        <v>2024</v>
      </c>
      <c r="J919">
        <f>MONTH(Table1[[#This Row],[Posting Date]])</f>
        <v>12</v>
      </c>
      <c r="K919" t="str">
        <f>IF(Table1[[#This Row],[Type]]="IN",VLOOKUP(Table1[[#This Row],[Cust '#]],ClientInfo!$A:$D,4,0),"")</f>
        <v/>
      </c>
      <c r="L919" s="1" t="str">
        <f>IF(K919="NET30",Table1[[#This Row],[Posting Date]]+30,IF(K919="NET15",Table1[[#This Row],[Posting Date]]+15,IF(K919="COD",Table1[[#This Row],[Posting Date]],"")))</f>
        <v/>
      </c>
      <c r="M919" s="4" t="str">
        <f>IFERROR(IF(Table1[[#This Row],[Type]]="IN",Table1[[#This Row],[RC Date]]-Table1[[#This Row],[Posting Date]],""),"")</f>
        <v/>
      </c>
      <c r="N919">
        <f>IFERROR(IF(Table1[[#This Row],[Balance Due (LC)]]&lt;&gt;0,$S$1-L919,0),"")</f>
        <v>0</v>
      </c>
      <c r="O919" t="str">
        <f>IFERROR(IF(Table1[[#This Row],[Type]]="IN",Table1[[#This Row],[C/D (LC)]],IF(Table1[[#This Row],[Type]]="CN",Table1[[#This Row],[C/D (LC)]],"")),"")</f>
        <v/>
      </c>
      <c r="P919" t="str">
        <f>VLOOKUP(Table1[[#This Row],[Cust '#]],ClientInfo!$A:$B,2,0)</f>
        <v>Client_10</v>
      </c>
    </row>
    <row r="920" spans="1:16">
      <c r="A920" t="s">
        <v>116</v>
      </c>
      <c r="B920" t="s">
        <v>12</v>
      </c>
      <c r="C920">
        <v>140017678</v>
      </c>
      <c r="D920" s="1">
        <v>45638</v>
      </c>
      <c r="E920">
        <v>623.4</v>
      </c>
      <c r="F920">
        <v>0</v>
      </c>
      <c r="G920">
        <v>700002571</v>
      </c>
      <c r="H920" s="1">
        <v>45680</v>
      </c>
      <c r="I920">
        <f>YEAR(Table1[[#This Row],[Posting Date]])</f>
        <v>2024</v>
      </c>
      <c r="J920">
        <f>MONTH(Table1[[#This Row],[Posting Date]])</f>
        <v>12</v>
      </c>
      <c r="K920" t="str">
        <f>IF(Table1[[#This Row],[Type]]="IN",VLOOKUP(Table1[[#This Row],[Cust '#]],ClientInfo!$A:$D,4,0),"")</f>
        <v>NET30</v>
      </c>
      <c r="L920" s="1">
        <f>IF(K920="NET30",Table1[[#This Row],[Posting Date]]+30,IF(K920="NET15",Table1[[#This Row],[Posting Date]]+15,IF(K920="COD",Table1[[#This Row],[Posting Date]],"")))</f>
        <v>45668</v>
      </c>
      <c r="M920" s="4">
        <f>IFERROR(IF(Table1[[#This Row],[Type]]="IN",Table1[[#This Row],[RC Date]]-Table1[[#This Row],[Posting Date]],""),"")</f>
        <v>42</v>
      </c>
      <c r="N920">
        <f>IFERROR(IF(Table1[[#This Row],[Balance Due (LC)]]&lt;&gt;0,$S$1-L920,0),"")</f>
        <v>0</v>
      </c>
      <c r="O920">
        <f>IFERROR(IF(Table1[[#This Row],[Type]]="IN",Table1[[#This Row],[C/D (LC)]],IF(Table1[[#This Row],[Type]]="CN",Table1[[#This Row],[C/D (LC)]],"")),"")</f>
        <v>623.4</v>
      </c>
      <c r="P920" t="str">
        <f>VLOOKUP(Table1[[#This Row],[Cust '#]],ClientInfo!$A:$B,2,0)</f>
        <v>Client_10</v>
      </c>
    </row>
    <row r="921" spans="1:16">
      <c r="A921" t="s">
        <v>116</v>
      </c>
      <c r="B921" t="s">
        <v>12</v>
      </c>
      <c r="C921">
        <v>140017679</v>
      </c>
      <c r="D921" s="1">
        <v>45638</v>
      </c>
      <c r="E921">
        <v>1231.97</v>
      </c>
      <c r="F921">
        <v>0</v>
      </c>
      <c r="G921">
        <v>700002580</v>
      </c>
      <c r="H921" s="1">
        <v>45680</v>
      </c>
      <c r="I921">
        <f>YEAR(Table1[[#This Row],[Posting Date]])</f>
        <v>2024</v>
      </c>
      <c r="J921">
        <f>MONTH(Table1[[#This Row],[Posting Date]])</f>
        <v>12</v>
      </c>
      <c r="K921" t="str">
        <f>IF(Table1[[#This Row],[Type]]="IN",VLOOKUP(Table1[[#This Row],[Cust '#]],ClientInfo!$A:$D,4,0),"")</f>
        <v>NET30</v>
      </c>
      <c r="L921" s="1">
        <f>IF(K921="NET30",Table1[[#This Row],[Posting Date]]+30,IF(K921="NET15",Table1[[#This Row],[Posting Date]]+15,IF(K921="COD",Table1[[#This Row],[Posting Date]],"")))</f>
        <v>45668</v>
      </c>
      <c r="M921" s="4">
        <f>IFERROR(IF(Table1[[#This Row],[Type]]="IN",Table1[[#This Row],[RC Date]]-Table1[[#This Row],[Posting Date]],""),"")</f>
        <v>42</v>
      </c>
      <c r="N921">
        <f>IFERROR(IF(Table1[[#This Row],[Balance Due (LC)]]&lt;&gt;0,$S$1-L921,0),"")</f>
        <v>0</v>
      </c>
      <c r="O921">
        <f>IFERROR(IF(Table1[[#This Row],[Type]]="IN",Table1[[#This Row],[C/D (LC)]],IF(Table1[[#This Row],[Type]]="CN",Table1[[#This Row],[C/D (LC)]],"")),"")</f>
        <v>1231.97</v>
      </c>
      <c r="P921" t="str">
        <f>VLOOKUP(Table1[[#This Row],[Cust '#]],ClientInfo!$A:$B,2,0)</f>
        <v>Client_10</v>
      </c>
    </row>
    <row r="922" spans="1:16">
      <c r="A922" t="s">
        <v>116</v>
      </c>
      <c r="B922" t="s">
        <v>10</v>
      </c>
      <c r="C922">
        <v>700002288</v>
      </c>
      <c r="D922" s="1">
        <v>45643</v>
      </c>
      <c r="E922">
        <v>-4076.5</v>
      </c>
      <c r="F922">
        <v>-4076.5</v>
      </c>
      <c r="H922" s="1" t="s">
        <v>14</v>
      </c>
      <c r="I922">
        <f>YEAR(Table1[[#This Row],[Posting Date]])</f>
        <v>2024</v>
      </c>
      <c r="J922">
        <f>MONTH(Table1[[#This Row],[Posting Date]])</f>
        <v>12</v>
      </c>
      <c r="K922" t="str">
        <f>IF(Table1[[#This Row],[Type]]="IN",VLOOKUP(Table1[[#This Row],[Cust '#]],ClientInfo!$A:$D,4,0),"")</f>
        <v/>
      </c>
      <c r="L922" s="1" t="str">
        <f>IF(K922="NET30",Table1[[#This Row],[Posting Date]]+30,IF(K922="NET15",Table1[[#This Row],[Posting Date]]+15,IF(K922="COD",Table1[[#This Row],[Posting Date]],"")))</f>
        <v/>
      </c>
      <c r="M922" s="4" t="str">
        <f>IFERROR(IF(Table1[[#This Row],[Type]]="IN",Table1[[#This Row],[RC Date]]-Table1[[#This Row],[Posting Date]],""),"")</f>
        <v/>
      </c>
      <c r="N922" t="str">
        <f>IFERROR(IF(Table1[[#This Row],[Balance Due (LC)]]&lt;&gt;0,$S$1-L922,0),"")</f>
        <v/>
      </c>
      <c r="O922" t="str">
        <f>IFERROR(IF(Table1[[#This Row],[Type]]="IN",Table1[[#This Row],[C/D (LC)]],IF(Table1[[#This Row],[Type]]="CN",Table1[[#This Row],[C/D (LC)]],"")),"")</f>
        <v/>
      </c>
      <c r="P922" t="str">
        <f>VLOOKUP(Table1[[#This Row],[Cust '#]],ClientInfo!$A:$B,2,0)</f>
        <v>Client_10</v>
      </c>
    </row>
    <row r="923" spans="1:16">
      <c r="A923" t="s">
        <v>116</v>
      </c>
      <c r="B923" t="s">
        <v>12</v>
      </c>
      <c r="C923">
        <v>140019593</v>
      </c>
      <c r="D923" s="1">
        <v>45680</v>
      </c>
      <c r="E923">
        <v>4850.57</v>
      </c>
      <c r="F923">
        <v>4850.57</v>
      </c>
      <c r="H923" s="1" t="s">
        <v>14</v>
      </c>
      <c r="I923">
        <f>YEAR(Table1[[#This Row],[Posting Date]])</f>
        <v>2025</v>
      </c>
      <c r="J923">
        <f>MONTH(Table1[[#This Row],[Posting Date]])</f>
        <v>1</v>
      </c>
      <c r="K923" t="str">
        <f>IF(Table1[[#This Row],[Type]]="IN",VLOOKUP(Table1[[#This Row],[Cust '#]],ClientInfo!$A:$D,4,0),"")</f>
        <v>NET30</v>
      </c>
      <c r="L923" s="1">
        <f>IF(K923="NET30",Table1[[#This Row],[Posting Date]]+30,IF(K923="NET15",Table1[[#This Row],[Posting Date]]+15,IF(K923="COD",Table1[[#This Row],[Posting Date]],"")))</f>
        <v>45710</v>
      </c>
      <c r="M923" s="4" t="str">
        <f>IFERROR(IF(Table1[[#This Row],[Type]]="IN",Table1[[#This Row],[RC Date]]-Table1[[#This Row],[Posting Date]],""),"")</f>
        <v/>
      </c>
      <c r="N923">
        <f>IFERROR(IF(Table1[[#This Row],[Balance Due (LC)]]&lt;&gt;0,$S$1-L923,0),"")</f>
        <v>116</v>
      </c>
      <c r="O923">
        <f>IFERROR(IF(Table1[[#This Row],[Type]]="IN",Table1[[#This Row],[C/D (LC)]],IF(Table1[[#This Row],[Type]]="CN",Table1[[#This Row],[C/D (LC)]],"")),"")</f>
        <v>4850.57</v>
      </c>
      <c r="P923" t="str">
        <f>VLOOKUP(Table1[[#This Row],[Cust '#]],ClientInfo!$A:$B,2,0)</f>
        <v>Client_10</v>
      </c>
    </row>
    <row r="924" spans="1:16">
      <c r="A924" t="s">
        <v>116</v>
      </c>
      <c r="B924" t="s">
        <v>10</v>
      </c>
      <c r="C924">
        <v>700002571</v>
      </c>
      <c r="D924" s="1">
        <v>45680</v>
      </c>
      <c r="E924">
        <v>-623.4</v>
      </c>
      <c r="F924">
        <v>0</v>
      </c>
      <c r="G924">
        <v>700002571</v>
      </c>
      <c r="H924" s="1">
        <v>45680</v>
      </c>
      <c r="I924">
        <f>YEAR(Table1[[#This Row],[Posting Date]])</f>
        <v>2025</v>
      </c>
      <c r="J924">
        <f>MONTH(Table1[[#This Row],[Posting Date]])</f>
        <v>1</v>
      </c>
      <c r="K924" t="str">
        <f>IF(Table1[[#This Row],[Type]]="IN",VLOOKUP(Table1[[#This Row],[Cust '#]],ClientInfo!$A:$D,4,0),"")</f>
        <v/>
      </c>
      <c r="L924" s="1" t="str">
        <f>IF(K924="NET30",Table1[[#This Row],[Posting Date]]+30,IF(K924="NET15",Table1[[#This Row],[Posting Date]]+15,IF(K924="COD",Table1[[#This Row],[Posting Date]],"")))</f>
        <v/>
      </c>
      <c r="M924" s="4" t="str">
        <f>IFERROR(IF(Table1[[#This Row],[Type]]="IN",Table1[[#This Row],[RC Date]]-Table1[[#This Row],[Posting Date]],""),"")</f>
        <v/>
      </c>
      <c r="N924">
        <f>IFERROR(IF(Table1[[#This Row],[Balance Due (LC)]]&lt;&gt;0,$S$1-L924,0),"")</f>
        <v>0</v>
      </c>
      <c r="O924" t="str">
        <f>IFERROR(IF(Table1[[#This Row],[Type]]="IN",Table1[[#This Row],[C/D (LC)]],IF(Table1[[#This Row],[Type]]="CN",Table1[[#This Row],[C/D (LC)]],"")),"")</f>
        <v/>
      </c>
      <c r="P924" t="str">
        <f>VLOOKUP(Table1[[#This Row],[Cust '#]],ClientInfo!$A:$B,2,0)</f>
        <v>Client_10</v>
      </c>
    </row>
    <row r="925" spans="1:16">
      <c r="A925" t="s">
        <v>116</v>
      </c>
      <c r="B925" t="s">
        <v>10</v>
      </c>
      <c r="C925">
        <v>700002580</v>
      </c>
      <c r="D925" s="1">
        <v>45680</v>
      </c>
      <c r="E925">
        <v>-7136.99</v>
      </c>
      <c r="F925">
        <v>0</v>
      </c>
      <c r="G925">
        <v>700002580</v>
      </c>
      <c r="H925" s="1">
        <v>45680</v>
      </c>
      <c r="I925">
        <f>YEAR(Table1[[#This Row],[Posting Date]])</f>
        <v>2025</v>
      </c>
      <c r="J925">
        <f>MONTH(Table1[[#This Row],[Posting Date]])</f>
        <v>1</v>
      </c>
      <c r="K925" t="str">
        <f>IF(Table1[[#This Row],[Type]]="IN",VLOOKUP(Table1[[#This Row],[Cust '#]],ClientInfo!$A:$D,4,0),"")</f>
        <v/>
      </c>
      <c r="L925" s="1" t="str">
        <f>IF(K925="NET30",Table1[[#This Row],[Posting Date]]+30,IF(K925="NET15",Table1[[#This Row],[Posting Date]]+15,IF(K925="COD",Table1[[#This Row],[Posting Date]],"")))</f>
        <v/>
      </c>
      <c r="M925" s="4" t="str">
        <f>IFERROR(IF(Table1[[#This Row],[Type]]="IN",Table1[[#This Row],[RC Date]]-Table1[[#This Row],[Posting Date]],""),"")</f>
        <v/>
      </c>
      <c r="N925">
        <f>IFERROR(IF(Table1[[#This Row],[Balance Due (LC)]]&lt;&gt;0,$S$1-L925,0),"")</f>
        <v>0</v>
      </c>
      <c r="O925" t="str">
        <f>IFERROR(IF(Table1[[#This Row],[Type]]="IN",Table1[[#This Row],[C/D (LC)]],IF(Table1[[#This Row],[Type]]="CN",Table1[[#This Row],[C/D (LC)]],"")),"")</f>
        <v/>
      </c>
      <c r="P925" t="str">
        <f>VLOOKUP(Table1[[#This Row],[Cust '#]],ClientInfo!$A:$B,2,0)</f>
        <v>Client_10</v>
      </c>
    </row>
    <row r="926" spans="1:16">
      <c r="A926" t="s">
        <v>116</v>
      </c>
      <c r="B926" t="s">
        <v>12</v>
      </c>
      <c r="C926">
        <v>140021522</v>
      </c>
      <c r="D926" s="1">
        <v>45722</v>
      </c>
      <c r="E926">
        <v>8418.6299999999992</v>
      </c>
      <c r="F926">
        <v>0</v>
      </c>
      <c r="G926">
        <v>700003192</v>
      </c>
      <c r="H926" s="1">
        <v>45756</v>
      </c>
      <c r="I926">
        <f>YEAR(Table1[[#This Row],[Posting Date]])</f>
        <v>2025</v>
      </c>
      <c r="J926">
        <f>MONTH(Table1[[#This Row],[Posting Date]])</f>
        <v>3</v>
      </c>
      <c r="K926" t="str">
        <f>IF(Table1[[#This Row],[Type]]="IN",VLOOKUP(Table1[[#This Row],[Cust '#]],ClientInfo!$A:$D,4,0),"")</f>
        <v>NET30</v>
      </c>
      <c r="L926" s="1">
        <f>IF(K926="NET30",Table1[[#This Row],[Posting Date]]+30,IF(K926="NET15",Table1[[#This Row],[Posting Date]]+15,IF(K926="COD",Table1[[#This Row],[Posting Date]],"")))</f>
        <v>45752</v>
      </c>
      <c r="M926" s="4">
        <f>IFERROR(IF(Table1[[#This Row],[Type]]="IN",Table1[[#This Row],[RC Date]]-Table1[[#This Row],[Posting Date]],""),"")</f>
        <v>34</v>
      </c>
      <c r="N926">
        <f>IFERROR(IF(Table1[[#This Row],[Balance Due (LC)]]&lt;&gt;0,$S$1-L926,0),"")</f>
        <v>0</v>
      </c>
      <c r="O926">
        <f>IFERROR(IF(Table1[[#This Row],[Type]]="IN",Table1[[#This Row],[C/D (LC)]],IF(Table1[[#This Row],[Type]]="CN",Table1[[#This Row],[C/D (LC)]],"")),"")</f>
        <v>8418.6299999999992</v>
      </c>
      <c r="P926" t="str">
        <f>VLOOKUP(Table1[[#This Row],[Cust '#]],ClientInfo!$A:$B,2,0)</f>
        <v>Client_10</v>
      </c>
    </row>
    <row r="927" spans="1:16">
      <c r="A927" t="s">
        <v>116</v>
      </c>
      <c r="B927" t="s">
        <v>13</v>
      </c>
      <c r="C927">
        <v>150000974</v>
      </c>
      <c r="D927" s="1">
        <v>45726</v>
      </c>
      <c r="E927">
        <v>-49.99</v>
      </c>
      <c r="F927">
        <v>-49.99</v>
      </c>
      <c r="H927" s="1" t="s">
        <v>14</v>
      </c>
      <c r="I927">
        <f>YEAR(Table1[[#This Row],[Posting Date]])</f>
        <v>2025</v>
      </c>
      <c r="J927">
        <f>MONTH(Table1[[#This Row],[Posting Date]])</f>
        <v>3</v>
      </c>
      <c r="K927" t="str">
        <f>IF(Table1[[#This Row],[Type]]="IN",VLOOKUP(Table1[[#This Row],[Cust '#]],ClientInfo!$A:$D,4,0),"")</f>
        <v/>
      </c>
      <c r="L927" s="1" t="str">
        <f>IF(K927="NET30",Table1[[#This Row],[Posting Date]]+30,IF(K927="NET15",Table1[[#This Row],[Posting Date]]+15,IF(K927="COD",Table1[[#This Row],[Posting Date]],"")))</f>
        <v/>
      </c>
      <c r="M927" s="4" t="str">
        <f>IFERROR(IF(Table1[[#This Row],[Type]]="IN",Table1[[#This Row],[RC Date]]-Table1[[#This Row],[Posting Date]],""),"")</f>
        <v/>
      </c>
      <c r="N927" t="str">
        <f>IFERROR(IF(Table1[[#This Row],[Balance Due (LC)]]&lt;&gt;0,$S$1-L927,0),"")</f>
        <v/>
      </c>
      <c r="O927">
        <f>IFERROR(IF(Table1[[#This Row],[Type]]="IN",Table1[[#This Row],[C/D (LC)]],IF(Table1[[#This Row],[Type]]="CN",Table1[[#This Row],[C/D (LC)]],"")),"")</f>
        <v>-49.99</v>
      </c>
      <c r="P927" t="str">
        <f>VLOOKUP(Table1[[#This Row],[Cust '#]],ClientInfo!$A:$B,2,0)</f>
        <v>Client_10</v>
      </c>
    </row>
    <row r="928" spans="1:16">
      <c r="A928" t="s">
        <v>116</v>
      </c>
      <c r="B928" t="s">
        <v>12</v>
      </c>
      <c r="C928">
        <v>140022414</v>
      </c>
      <c r="D928" s="1">
        <v>45743</v>
      </c>
      <c r="E928">
        <v>3388.9</v>
      </c>
      <c r="F928">
        <v>0</v>
      </c>
      <c r="G928">
        <v>700003344</v>
      </c>
      <c r="H928" s="1">
        <v>45776</v>
      </c>
      <c r="I928">
        <f>YEAR(Table1[[#This Row],[Posting Date]])</f>
        <v>2025</v>
      </c>
      <c r="J928">
        <f>MONTH(Table1[[#This Row],[Posting Date]])</f>
        <v>3</v>
      </c>
      <c r="K928" t="str">
        <f>IF(Table1[[#This Row],[Type]]="IN",VLOOKUP(Table1[[#This Row],[Cust '#]],ClientInfo!$A:$D,4,0),"")</f>
        <v>NET30</v>
      </c>
      <c r="L928" s="1">
        <f>IF(K928="NET30",Table1[[#This Row],[Posting Date]]+30,IF(K928="NET15",Table1[[#This Row],[Posting Date]]+15,IF(K928="COD",Table1[[#This Row],[Posting Date]],"")))</f>
        <v>45773</v>
      </c>
      <c r="M928" s="4">
        <f>IFERROR(IF(Table1[[#This Row],[Type]]="IN",Table1[[#This Row],[RC Date]]-Table1[[#This Row],[Posting Date]],""),"")</f>
        <v>33</v>
      </c>
      <c r="N928">
        <f>IFERROR(IF(Table1[[#This Row],[Balance Due (LC)]]&lt;&gt;0,$S$1-L928,0),"")</f>
        <v>0</v>
      </c>
      <c r="O928">
        <f>IFERROR(IF(Table1[[#This Row],[Type]]="IN",Table1[[#This Row],[C/D (LC)]],IF(Table1[[#This Row],[Type]]="CN",Table1[[#This Row],[C/D (LC)]],"")),"")</f>
        <v>3388.9</v>
      </c>
      <c r="P928" t="str">
        <f>VLOOKUP(Table1[[#This Row],[Cust '#]],ClientInfo!$A:$B,2,0)</f>
        <v>Client_10</v>
      </c>
    </row>
    <row r="929" spans="1:16">
      <c r="A929" t="s">
        <v>116</v>
      </c>
      <c r="B929" t="s">
        <v>10</v>
      </c>
      <c r="C929">
        <v>700003185</v>
      </c>
      <c r="D929" s="1">
        <v>45756</v>
      </c>
      <c r="E929">
        <v>-8418.6299999999992</v>
      </c>
      <c r="F929">
        <v>0</v>
      </c>
      <c r="G929">
        <v>700003185</v>
      </c>
      <c r="H929" s="1">
        <v>45756</v>
      </c>
      <c r="I929">
        <f>YEAR(Table1[[#This Row],[Posting Date]])</f>
        <v>2025</v>
      </c>
      <c r="J929">
        <f>MONTH(Table1[[#This Row],[Posting Date]])</f>
        <v>4</v>
      </c>
      <c r="K929" t="str">
        <f>IF(Table1[[#This Row],[Type]]="IN",VLOOKUP(Table1[[#This Row],[Cust '#]],ClientInfo!$A:$D,4,0),"")</f>
        <v/>
      </c>
      <c r="L929" s="1" t="str">
        <f>IF(K929="NET30",Table1[[#This Row],[Posting Date]]+30,IF(K929="NET15",Table1[[#This Row],[Posting Date]]+15,IF(K929="COD",Table1[[#This Row],[Posting Date]],"")))</f>
        <v/>
      </c>
      <c r="M929" s="4" t="str">
        <f>IFERROR(IF(Table1[[#This Row],[Type]]="IN",Table1[[#This Row],[RC Date]]-Table1[[#This Row],[Posting Date]],""),"")</f>
        <v/>
      </c>
      <c r="N929">
        <f>IFERROR(IF(Table1[[#This Row],[Balance Due (LC)]]&lt;&gt;0,$S$1-L929,0),"")</f>
        <v>0</v>
      </c>
      <c r="O929" t="str">
        <f>IFERROR(IF(Table1[[#This Row],[Type]]="IN",Table1[[#This Row],[C/D (LC)]],IF(Table1[[#This Row],[Type]]="CN",Table1[[#This Row],[C/D (LC)]],"")),"")</f>
        <v/>
      </c>
      <c r="P929" t="str">
        <f>VLOOKUP(Table1[[#This Row],[Cust '#]],ClientInfo!$A:$B,2,0)</f>
        <v>Client_10</v>
      </c>
    </row>
    <row r="930" spans="1:16">
      <c r="A930" t="s">
        <v>116</v>
      </c>
      <c r="B930" t="s">
        <v>10</v>
      </c>
      <c r="C930">
        <v>700003185</v>
      </c>
      <c r="D930" s="1">
        <v>45756</v>
      </c>
      <c r="E930">
        <v>8418.6299999999992</v>
      </c>
      <c r="F930">
        <v>0</v>
      </c>
      <c r="G930">
        <v>700003185</v>
      </c>
      <c r="H930" s="1">
        <v>45756</v>
      </c>
      <c r="I930">
        <f>YEAR(Table1[[#This Row],[Posting Date]])</f>
        <v>2025</v>
      </c>
      <c r="J930">
        <f>MONTH(Table1[[#This Row],[Posting Date]])</f>
        <v>4</v>
      </c>
      <c r="K930" t="str">
        <f>IF(Table1[[#This Row],[Type]]="IN",VLOOKUP(Table1[[#This Row],[Cust '#]],ClientInfo!$A:$D,4,0),"")</f>
        <v/>
      </c>
      <c r="L930" s="1" t="str">
        <f>IF(K930="NET30",Table1[[#This Row],[Posting Date]]+30,IF(K930="NET15",Table1[[#This Row],[Posting Date]]+15,IF(K930="COD",Table1[[#This Row],[Posting Date]],"")))</f>
        <v/>
      </c>
      <c r="M930" s="4" t="str">
        <f>IFERROR(IF(Table1[[#This Row],[Type]]="IN",Table1[[#This Row],[RC Date]]-Table1[[#This Row],[Posting Date]],""),"")</f>
        <v/>
      </c>
      <c r="N930">
        <f>IFERROR(IF(Table1[[#This Row],[Balance Due (LC)]]&lt;&gt;0,$S$1-L930,0),"")</f>
        <v>0</v>
      </c>
      <c r="O930" t="str">
        <f>IFERROR(IF(Table1[[#This Row],[Type]]="IN",Table1[[#This Row],[C/D (LC)]],IF(Table1[[#This Row],[Type]]="CN",Table1[[#This Row],[C/D (LC)]],"")),"")</f>
        <v/>
      </c>
      <c r="P930" t="str">
        <f>VLOOKUP(Table1[[#This Row],[Cust '#]],ClientInfo!$A:$B,2,0)</f>
        <v>Client_10</v>
      </c>
    </row>
    <row r="931" spans="1:16">
      <c r="A931" t="s">
        <v>116</v>
      </c>
      <c r="B931" t="s">
        <v>10</v>
      </c>
      <c r="C931">
        <v>700003192</v>
      </c>
      <c r="D931" s="1">
        <v>45756</v>
      </c>
      <c r="E931">
        <v>-8418.6299999999992</v>
      </c>
      <c r="F931">
        <v>0</v>
      </c>
      <c r="G931">
        <v>700003192</v>
      </c>
      <c r="H931" s="1">
        <v>45756</v>
      </c>
      <c r="I931">
        <f>YEAR(Table1[[#This Row],[Posting Date]])</f>
        <v>2025</v>
      </c>
      <c r="J931">
        <f>MONTH(Table1[[#This Row],[Posting Date]])</f>
        <v>4</v>
      </c>
      <c r="K931" t="str">
        <f>IF(Table1[[#This Row],[Type]]="IN",VLOOKUP(Table1[[#This Row],[Cust '#]],ClientInfo!$A:$D,4,0),"")</f>
        <v/>
      </c>
      <c r="L931" s="1" t="str">
        <f>IF(K931="NET30",Table1[[#This Row],[Posting Date]]+30,IF(K931="NET15",Table1[[#This Row],[Posting Date]]+15,IF(K931="COD",Table1[[#This Row],[Posting Date]],"")))</f>
        <v/>
      </c>
      <c r="M931" s="4" t="str">
        <f>IFERROR(IF(Table1[[#This Row],[Type]]="IN",Table1[[#This Row],[RC Date]]-Table1[[#This Row],[Posting Date]],""),"")</f>
        <v/>
      </c>
      <c r="N931">
        <f>IFERROR(IF(Table1[[#This Row],[Balance Due (LC)]]&lt;&gt;0,$S$1-L931,0),"")</f>
        <v>0</v>
      </c>
      <c r="O931" t="str">
        <f>IFERROR(IF(Table1[[#This Row],[Type]]="IN",Table1[[#This Row],[C/D (LC)]],IF(Table1[[#This Row],[Type]]="CN",Table1[[#This Row],[C/D (LC)]],"")),"")</f>
        <v/>
      </c>
      <c r="P931" t="str">
        <f>VLOOKUP(Table1[[#This Row],[Cust '#]],ClientInfo!$A:$B,2,0)</f>
        <v>Client_10</v>
      </c>
    </row>
    <row r="932" spans="1:16">
      <c r="A932" t="s">
        <v>116</v>
      </c>
      <c r="B932" t="s">
        <v>13</v>
      </c>
      <c r="C932">
        <v>150001058</v>
      </c>
      <c r="D932" s="1">
        <v>45758</v>
      </c>
      <c r="E932">
        <v>-59.98</v>
      </c>
      <c r="F932">
        <v>-59.98</v>
      </c>
      <c r="H932" s="1" t="s">
        <v>14</v>
      </c>
      <c r="I932">
        <f>YEAR(Table1[[#This Row],[Posting Date]])</f>
        <v>2025</v>
      </c>
      <c r="J932">
        <f>MONTH(Table1[[#This Row],[Posting Date]])</f>
        <v>4</v>
      </c>
      <c r="K932" t="str">
        <f>IF(Table1[[#This Row],[Type]]="IN",VLOOKUP(Table1[[#This Row],[Cust '#]],ClientInfo!$A:$D,4,0),"")</f>
        <v/>
      </c>
      <c r="L932" s="1" t="str">
        <f>IF(K932="NET30",Table1[[#This Row],[Posting Date]]+30,IF(K932="NET15",Table1[[#This Row],[Posting Date]]+15,IF(K932="COD",Table1[[#This Row],[Posting Date]],"")))</f>
        <v/>
      </c>
      <c r="M932" s="4" t="str">
        <f>IFERROR(IF(Table1[[#This Row],[Type]]="IN",Table1[[#This Row],[RC Date]]-Table1[[#This Row],[Posting Date]],""),"")</f>
        <v/>
      </c>
      <c r="N932" t="str">
        <f>IFERROR(IF(Table1[[#This Row],[Balance Due (LC)]]&lt;&gt;0,$S$1-L932,0),"")</f>
        <v/>
      </c>
      <c r="O932">
        <f>IFERROR(IF(Table1[[#This Row],[Type]]="IN",Table1[[#This Row],[C/D (LC)]],IF(Table1[[#This Row],[Type]]="CN",Table1[[#This Row],[C/D (LC)]],"")),"")</f>
        <v>-59.98</v>
      </c>
      <c r="P932" t="str">
        <f>VLOOKUP(Table1[[#This Row],[Cust '#]],ClientInfo!$A:$B,2,0)</f>
        <v>Client_10</v>
      </c>
    </row>
    <row r="933" spans="1:16">
      <c r="A933" t="s">
        <v>116</v>
      </c>
      <c r="B933" t="s">
        <v>12</v>
      </c>
      <c r="C933">
        <v>140023660</v>
      </c>
      <c r="D933" s="1">
        <v>45771</v>
      </c>
      <c r="E933">
        <v>7796.88</v>
      </c>
      <c r="F933">
        <v>7796.88</v>
      </c>
      <c r="H933" s="1" t="s">
        <v>14</v>
      </c>
      <c r="I933">
        <f>YEAR(Table1[[#This Row],[Posting Date]])</f>
        <v>2025</v>
      </c>
      <c r="J933">
        <f>MONTH(Table1[[#This Row],[Posting Date]])</f>
        <v>4</v>
      </c>
      <c r="K933" t="str">
        <f>IF(Table1[[#This Row],[Type]]="IN",VLOOKUP(Table1[[#This Row],[Cust '#]],ClientInfo!$A:$D,4,0),"")</f>
        <v>NET30</v>
      </c>
      <c r="L933" s="1">
        <f>IF(K933="NET30",Table1[[#This Row],[Posting Date]]+30,IF(K933="NET15",Table1[[#This Row],[Posting Date]]+15,IF(K933="COD",Table1[[#This Row],[Posting Date]],"")))</f>
        <v>45801</v>
      </c>
      <c r="M933" s="4" t="str">
        <f>IFERROR(IF(Table1[[#This Row],[Type]]="IN",Table1[[#This Row],[RC Date]]-Table1[[#This Row],[Posting Date]],""),"")</f>
        <v/>
      </c>
      <c r="N933">
        <f>IFERROR(IF(Table1[[#This Row],[Balance Due (LC)]]&lt;&gt;0,$S$1-L933,0),"")</f>
        <v>25</v>
      </c>
      <c r="O933">
        <f>IFERROR(IF(Table1[[#This Row],[Type]]="IN",Table1[[#This Row],[C/D (LC)]],IF(Table1[[#This Row],[Type]]="CN",Table1[[#This Row],[C/D (LC)]],"")),"")</f>
        <v>7796.88</v>
      </c>
      <c r="P933" t="str">
        <f>VLOOKUP(Table1[[#This Row],[Cust '#]],ClientInfo!$A:$B,2,0)</f>
        <v>Client_10</v>
      </c>
    </row>
    <row r="934" spans="1:16">
      <c r="A934" t="s">
        <v>116</v>
      </c>
      <c r="B934" t="s">
        <v>10</v>
      </c>
      <c r="C934">
        <v>700003344</v>
      </c>
      <c r="D934" s="1">
        <v>45776</v>
      </c>
      <c r="E934">
        <v>-3388.9</v>
      </c>
      <c r="F934">
        <v>0</v>
      </c>
      <c r="G934">
        <v>700003344</v>
      </c>
      <c r="H934" s="1">
        <v>45776</v>
      </c>
      <c r="I934">
        <f>YEAR(Table1[[#This Row],[Posting Date]])</f>
        <v>2025</v>
      </c>
      <c r="J934">
        <f>MONTH(Table1[[#This Row],[Posting Date]])</f>
        <v>4</v>
      </c>
      <c r="K934" t="str">
        <f>IF(Table1[[#This Row],[Type]]="IN",VLOOKUP(Table1[[#This Row],[Cust '#]],ClientInfo!$A:$D,4,0),"")</f>
        <v/>
      </c>
      <c r="L934" s="1" t="str">
        <f>IF(K934="NET30",Table1[[#This Row],[Posting Date]]+30,IF(K934="NET15",Table1[[#This Row],[Posting Date]]+15,IF(K934="COD",Table1[[#This Row],[Posting Date]],"")))</f>
        <v/>
      </c>
      <c r="M934" s="4" t="str">
        <f>IFERROR(IF(Table1[[#This Row],[Type]]="IN",Table1[[#This Row],[RC Date]]-Table1[[#This Row],[Posting Date]],""),"")</f>
        <v/>
      </c>
      <c r="N934">
        <f>IFERROR(IF(Table1[[#This Row],[Balance Due (LC)]]&lt;&gt;0,$S$1-L934,0),"")</f>
        <v>0</v>
      </c>
      <c r="O934" t="str">
        <f>IFERROR(IF(Table1[[#This Row],[Type]]="IN",Table1[[#This Row],[C/D (LC)]],IF(Table1[[#This Row],[Type]]="CN",Table1[[#This Row],[C/D (LC)]],"")),"")</f>
        <v/>
      </c>
      <c r="P934" t="str">
        <f>VLOOKUP(Table1[[#This Row],[Cust '#]],ClientInfo!$A:$B,2,0)</f>
        <v>Client_10</v>
      </c>
    </row>
    <row r="935" spans="1:16">
      <c r="A935" t="s">
        <v>116</v>
      </c>
      <c r="B935" t="s">
        <v>12</v>
      </c>
      <c r="C935">
        <v>140024895</v>
      </c>
      <c r="D935" s="1">
        <v>45799</v>
      </c>
      <c r="E935">
        <v>2379.16</v>
      </c>
      <c r="F935">
        <v>0</v>
      </c>
      <c r="G935">
        <v>700003734</v>
      </c>
      <c r="H935" s="1">
        <v>45825</v>
      </c>
      <c r="I935">
        <f>YEAR(Table1[[#This Row],[Posting Date]])</f>
        <v>2025</v>
      </c>
      <c r="J935">
        <f>MONTH(Table1[[#This Row],[Posting Date]])</f>
        <v>5</v>
      </c>
      <c r="K935" t="str">
        <f>IF(Table1[[#This Row],[Type]]="IN",VLOOKUP(Table1[[#This Row],[Cust '#]],ClientInfo!$A:$D,4,0),"")</f>
        <v>NET30</v>
      </c>
      <c r="L935" s="1">
        <f>IF(K935="NET30",Table1[[#This Row],[Posting Date]]+30,IF(K935="NET15",Table1[[#This Row],[Posting Date]]+15,IF(K935="COD",Table1[[#This Row],[Posting Date]],"")))</f>
        <v>45829</v>
      </c>
      <c r="M935" s="4">
        <f>IFERROR(IF(Table1[[#This Row],[Type]]="IN",Table1[[#This Row],[RC Date]]-Table1[[#This Row],[Posting Date]],""),"")</f>
        <v>26</v>
      </c>
      <c r="N935">
        <f>IFERROR(IF(Table1[[#This Row],[Balance Due (LC)]]&lt;&gt;0,$S$1-L935,0),"")</f>
        <v>0</v>
      </c>
      <c r="O935">
        <f>IFERROR(IF(Table1[[#This Row],[Type]]="IN",Table1[[#This Row],[C/D (LC)]],IF(Table1[[#This Row],[Type]]="CN",Table1[[#This Row],[C/D (LC)]],"")),"")</f>
        <v>2379.16</v>
      </c>
      <c r="P935" t="str">
        <f>VLOOKUP(Table1[[#This Row],[Cust '#]],ClientInfo!$A:$B,2,0)</f>
        <v>Client_10</v>
      </c>
    </row>
    <row r="936" spans="1:16">
      <c r="A936" t="s">
        <v>116</v>
      </c>
      <c r="B936" t="s">
        <v>12</v>
      </c>
      <c r="C936">
        <v>140025193</v>
      </c>
      <c r="D936" s="1">
        <v>45806</v>
      </c>
      <c r="E936">
        <v>3659.77</v>
      </c>
      <c r="F936">
        <v>3659.77</v>
      </c>
      <c r="H936" s="1" t="s">
        <v>14</v>
      </c>
      <c r="I936">
        <f>YEAR(Table1[[#This Row],[Posting Date]])</f>
        <v>2025</v>
      </c>
      <c r="J936">
        <f>MONTH(Table1[[#This Row],[Posting Date]])</f>
        <v>5</v>
      </c>
      <c r="K936" t="str">
        <f>IF(Table1[[#This Row],[Type]]="IN",VLOOKUP(Table1[[#This Row],[Cust '#]],ClientInfo!$A:$D,4,0),"")</f>
        <v>NET30</v>
      </c>
      <c r="L936" s="1">
        <f>IF(K936="NET30",Table1[[#This Row],[Posting Date]]+30,IF(K936="NET15",Table1[[#This Row],[Posting Date]]+15,IF(K936="COD",Table1[[#This Row],[Posting Date]],"")))</f>
        <v>45836</v>
      </c>
      <c r="M936" s="4" t="str">
        <f>IFERROR(IF(Table1[[#This Row],[Type]]="IN",Table1[[#This Row],[RC Date]]-Table1[[#This Row],[Posting Date]],""),"")</f>
        <v/>
      </c>
      <c r="N936">
        <f>IFERROR(IF(Table1[[#This Row],[Balance Due (LC)]]&lt;&gt;0,$S$1-L936,0),"")</f>
        <v>-10</v>
      </c>
      <c r="O936">
        <f>IFERROR(IF(Table1[[#This Row],[Type]]="IN",Table1[[#This Row],[C/D (LC)]],IF(Table1[[#This Row],[Type]]="CN",Table1[[#This Row],[C/D (LC)]],"")),"")</f>
        <v>3659.77</v>
      </c>
      <c r="P936" t="str">
        <f>VLOOKUP(Table1[[#This Row],[Cust '#]],ClientInfo!$A:$B,2,0)</f>
        <v>Client_10</v>
      </c>
    </row>
    <row r="937" spans="1:16">
      <c r="A937" t="s">
        <v>116</v>
      </c>
      <c r="B937" t="s">
        <v>10</v>
      </c>
      <c r="C937">
        <v>700003734</v>
      </c>
      <c r="D937" s="1">
        <v>45825</v>
      </c>
      <c r="E937">
        <v>-2379.16</v>
      </c>
      <c r="F937">
        <v>0</v>
      </c>
      <c r="G937">
        <v>700003734</v>
      </c>
      <c r="H937" s="1">
        <v>45825</v>
      </c>
      <c r="I937">
        <f>YEAR(Table1[[#This Row],[Posting Date]])</f>
        <v>2025</v>
      </c>
      <c r="J937">
        <f>MONTH(Table1[[#This Row],[Posting Date]])</f>
        <v>6</v>
      </c>
      <c r="K937" t="str">
        <f>IF(Table1[[#This Row],[Type]]="IN",VLOOKUP(Table1[[#This Row],[Cust '#]],ClientInfo!$A:$D,4,0),"")</f>
        <v/>
      </c>
      <c r="L937" s="1" t="str">
        <f>IF(K937="NET30",Table1[[#This Row],[Posting Date]]+30,IF(K937="NET15",Table1[[#This Row],[Posting Date]]+15,IF(K937="COD",Table1[[#This Row],[Posting Date]],"")))</f>
        <v/>
      </c>
      <c r="M937" s="4" t="str">
        <f>IFERROR(IF(Table1[[#This Row],[Type]]="IN",Table1[[#This Row],[RC Date]]-Table1[[#This Row],[Posting Date]],""),"")</f>
        <v/>
      </c>
      <c r="N937">
        <f>IFERROR(IF(Table1[[#This Row],[Balance Due (LC)]]&lt;&gt;0,$S$1-L937,0),"")</f>
        <v>0</v>
      </c>
      <c r="O937" t="str">
        <f>IFERROR(IF(Table1[[#This Row],[Type]]="IN",Table1[[#This Row],[C/D (LC)]],IF(Table1[[#This Row],[Type]]="CN",Table1[[#This Row],[C/D (LC)]],"")),"")</f>
        <v/>
      </c>
      <c r="P937" t="str">
        <f>VLOOKUP(Table1[[#This Row],[Cust '#]],ClientInfo!$A:$B,2,0)</f>
        <v>Client_10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CC9A-1863-47DA-93B2-8094BF695C7F}">
  <sheetPr codeName="Sheet6">
    <tabColor theme="1" tint="0.499984740745262"/>
  </sheetPr>
  <dimension ref="A1:H12"/>
  <sheetViews>
    <sheetView workbookViewId="0">
      <selection activeCell="J16" sqref="J16"/>
    </sheetView>
  </sheetViews>
  <sheetFormatPr defaultRowHeight="15"/>
  <cols>
    <col min="8" max="8" width="10.42578125" bestFit="1" customWidth="1"/>
  </cols>
  <sheetData>
    <row r="1" spans="1:8">
      <c r="A1" s="12" t="s">
        <v>117</v>
      </c>
      <c r="G1" t="s">
        <v>118</v>
      </c>
      <c r="H1" s="5">
        <v>45826</v>
      </c>
    </row>
    <row r="2" spans="1:8">
      <c r="A2" t="s">
        <v>35</v>
      </c>
      <c r="B2" t="s">
        <v>36</v>
      </c>
      <c r="C2" t="s">
        <v>37</v>
      </c>
      <c r="D2" t="s">
        <v>31</v>
      </c>
      <c r="E2" t="s">
        <v>38</v>
      </c>
      <c r="F2" t="s">
        <v>39</v>
      </c>
      <c r="G2" t="s">
        <v>40</v>
      </c>
    </row>
    <row r="3" spans="1:8">
      <c r="A3" t="s">
        <v>107</v>
      </c>
      <c r="B3" t="s">
        <v>57</v>
      </c>
      <c r="C3" t="s">
        <v>57</v>
      </c>
      <c r="D3" s="7">
        <v>0</v>
      </c>
      <c r="E3" s="7">
        <v>12000</v>
      </c>
      <c r="F3" s="7">
        <v>12000</v>
      </c>
      <c r="G3" t="s">
        <v>41</v>
      </c>
    </row>
    <row r="4" spans="1:8">
      <c r="A4" t="s">
        <v>108</v>
      </c>
      <c r="B4" t="s">
        <v>58</v>
      </c>
      <c r="C4" t="s">
        <v>58</v>
      </c>
      <c r="D4" s="7">
        <v>16271.1</v>
      </c>
      <c r="E4" s="7">
        <v>26000</v>
      </c>
      <c r="F4" s="7">
        <v>9728.9</v>
      </c>
      <c r="G4" t="s">
        <v>41</v>
      </c>
    </row>
    <row r="5" spans="1:8">
      <c r="A5" t="s">
        <v>109</v>
      </c>
      <c r="B5" t="s">
        <v>60</v>
      </c>
      <c r="C5" t="s">
        <v>60</v>
      </c>
      <c r="D5" s="7">
        <v>8288.5</v>
      </c>
      <c r="E5" s="7">
        <v>8500</v>
      </c>
      <c r="F5" s="7">
        <v>211.5</v>
      </c>
      <c r="G5" t="s">
        <v>41</v>
      </c>
    </row>
    <row r="6" spans="1:8">
      <c r="A6" t="s">
        <v>110</v>
      </c>
      <c r="B6" t="s">
        <v>61</v>
      </c>
      <c r="C6" t="s">
        <v>61</v>
      </c>
      <c r="D6" s="7">
        <v>8612.5</v>
      </c>
      <c r="E6" s="7">
        <v>39000</v>
      </c>
      <c r="F6" s="7">
        <v>30387.5</v>
      </c>
      <c r="G6" t="s">
        <v>41</v>
      </c>
    </row>
    <row r="7" spans="1:8">
      <c r="A7" t="s">
        <v>111</v>
      </c>
      <c r="B7" t="s">
        <v>62</v>
      </c>
      <c r="C7" t="s">
        <v>62</v>
      </c>
      <c r="D7" s="7">
        <v>18888.34</v>
      </c>
      <c r="E7" s="7">
        <v>38000</v>
      </c>
      <c r="F7" s="7">
        <v>19111.66</v>
      </c>
      <c r="G7" t="s">
        <v>41</v>
      </c>
    </row>
    <row r="8" spans="1:8">
      <c r="A8" t="s">
        <v>112</v>
      </c>
      <c r="B8" t="s">
        <v>63</v>
      </c>
      <c r="C8" t="s">
        <v>63</v>
      </c>
      <c r="D8" s="7">
        <v>7446.12</v>
      </c>
      <c r="E8" s="7">
        <v>14000</v>
      </c>
      <c r="F8" s="7">
        <v>6553.88</v>
      </c>
      <c r="G8" t="s">
        <v>41</v>
      </c>
    </row>
    <row r="9" spans="1:8">
      <c r="A9" t="s">
        <v>113</v>
      </c>
      <c r="B9" t="s">
        <v>64</v>
      </c>
      <c r="C9" t="s">
        <v>64</v>
      </c>
      <c r="D9" s="7">
        <v>1806.61</v>
      </c>
      <c r="E9" s="7">
        <v>10000</v>
      </c>
      <c r="F9" s="7">
        <v>8193.39</v>
      </c>
      <c r="G9" t="s">
        <v>41</v>
      </c>
    </row>
    <row r="10" spans="1:8">
      <c r="A10" t="s">
        <v>114</v>
      </c>
      <c r="B10" t="s">
        <v>65</v>
      </c>
      <c r="C10" t="s">
        <v>65</v>
      </c>
      <c r="D10" s="7">
        <v>53571.55</v>
      </c>
      <c r="E10" s="7">
        <v>80000</v>
      </c>
      <c r="F10" s="7">
        <v>26428.45</v>
      </c>
      <c r="G10" t="s">
        <v>41</v>
      </c>
    </row>
    <row r="11" spans="1:8">
      <c r="A11" t="s">
        <v>115</v>
      </c>
      <c r="B11" t="s">
        <v>66</v>
      </c>
      <c r="C11" t="s">
        <v>66</v>
      </c>
      <c r="D11" s="7">
        <v>7561.4</v>
      </c>
      <c r="E11" s="7">
        <v>12000</v>
      </c>
      <c r="F11" s="7">
        <v>4438.6000000000004</v>
      </c>
      <c r="G11" t="s">
        <v>41</v>
      </c>
    </row>
    <row r="12" spans="1:8">
      <c r="A12" t="s">
        <v>116</v>
      </c>
      <c r="B12" t="s">
        <v>67</v>
      </c>
      <c r="C12" t="s">
        <v>67</v>
      </c>
      <c r="D12" s="7">
        <v>12128.73</v>
      </c>
      <c r="E12" s="7">
        <v>15000</v>
      </c>
      <c r="F12" s="7">
        <v>2871.27</v>
      </c>
      <c r="G1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384C-0AE0-4011-B10F-E0688689A2EA}">
  <sheetPr codeName="Sheet7">
    <tabColor theme="1" tint="0.499984740745262"/>
  </sheetPr>
  <dimension ref="A1:C11"/>
  <sheetViews>
    <sheetView workbookViewId="0">
      <selection activeCell="G36" sqref="G36"/>
    </sheetView>
  </sheetViews>
  <sheetFormatPr defaultRowHeight="15"/>
  <cols>
    <col min="2" max="2" width="49.42578125" bestFit="1" customWidth="1"/>
  </cols>
  <sheetData>
    <row r="1" spans="1:3">
      <c r="A1" t="s">
        <v>0</v>
      </c>
      <c r="B1" t="s">
        <v>18</v>
      </c>
      <c r="C1" t="s">
        <v>49</v>
      </c>
    </row>
    <row r="2" spans="1:3">
      <c r="A2" t="s">
        <v>107</v>
      </c>
      <c r="B2" t="s">
        <v>57</v>
      </c>
      <c r="C2" t="s">
        <v>21</v>
      </c>
    </row>
    <row r="3" spans="1:3">
      <c r="A3" t="s">
        <v>108</v>
      </c>
      <c r="B3" t="s">
        <v>58</v>
      </c>
      <c r="C3" t="s">
        <v>21</v>
      </c>
    </row>
    <row r="4" spans="1:3">
      <c r="A4" t="s">
        <v>109</v>
      </c>
      <c r="B4" t="s">
        <v>60</v>
      </c>
      <c r="C4" t="s">
        <v>20</v>
      </c>
    </row>
    <row r="5" spans="1:3">
      <c r="A5" t="s">
        <v>110</v>
      </c>
      <c r="B5" t="s">
        <v>61</v>
      </c>
      <c r="C5" t="s">
        <v>21</v>
      </c>
    </row>
    <row r="6" spans="1:3">
      <c r="A6" t="s">
        <v>111</v>
      </c>
      <c r="B6" t="s">
        <v>62</v>
      </c>
      <c r="C6" t="s">
        <v>21</v>
      </c>
    </row>
    <row r="7" spans="1:3">
      <c r="A7" t="s">
        <v>112</v>
      </c>
      <c r="B7" t="s">
        <v>63</v>
      </c>
      <c r="C7" t="s">
        <v>26</v>
      </c>
    </row>
    <row r="8" spans="1:3">
      <c r="A8" t="s">
        <v>113</v>
      </c>
      <c r="B8" t="s">
        <v>64</v>
      </c>
      <c r="C8" t="s">
        <v>20</v>
      </c>
    </row>
    <row r="9" spans="1:3">
      <c r="A9" t="s">
        <v>114</v>
      </c>
      <c r="B9" t="s">
        <v>65</v>
      </c>
      <c r="C9" t="s">
        <v>26</v>
      </c>
    </row>
    <row r="10" spans="1:3">
      <c r="A10" t="s">
        <v>115</v>
      </c>
      <c r="B10" t="s">
        <v>66</v>
      </c>
      <c r="C10" t="s">
        <v>26</v>
      </c>
    </row>
    <row r="11" spans="1:3">
      <c r="A11" t="s">
        <v>116</v>
      </c>
      <c r="B11" t="s">
        <v>67</v>
      </c>
      <c r="C1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6CF8-B5C3-47E7-8431-592B42B327B3}">
  <sheetPr codeName="Sheet8">
    <tabColor theme="5"/>
  </sheetPr>
  <dimension ref="A1:D11"/>
  <sheetViews>
    <sheetView zoomScaleNormal="100" workbookViewId="0">
      <selection activeCell="B22" sqref="B22"/>
    </sheetView>
  </sheetViews>
  <sheetFormatPr defaultRowHeight="15"/>
  <cols>
    <col min="2" max="2" width="36.140625" customWidth="1"/>
    <col min="3" max="3" width="9.140625" style="3"/>
  </cols>
  <sheetData>
    <row r="1" spans="1:4">
      <c r="A1" s="45" t="s">
        <v>0</v>
      </c>
      <c r="B1" s="45" t="s">
        <v>18</v>
      </c>
      <c r="C1" s="45" t="s">
        <v>19</v>
      </c>
      <c r="D1" s="45" t="s">
        <v>9</v>
      </c>
    </row>
    <row r="2" spans="1:4">
      <c r="A2" s="48" t="s">
        <v>107</v>
      </c>
      <c r="B2" s="48" t="s">
        <v>57</v>
      </c>
      <c r="C2" s="49" t="s">
        <v>19</v>
      </c>
      <c r="D2" s="48" t="s">
        <v>21</v>
      </c>
    </row>
    <row r="3" spans="1:4">
      <c r="A3" s="46" t="s">
        <v>108</v>
      </c>
      <c r="B3" s="46" t="s">
        <v>58</v>
      </c>
      <c r="C3" s="47" t="s">
        <v>19</v>
      </c>
      <c r="D3" s="46" t="s">
        <v>21</v>
      </c>
    </row>
    <row r="4" spans="1:4">
      <c r="A4" s="46" t="s">
        <v>109</v>
      </c>
      <c r="B4" s="46" t="s">
        <v>60</v>
      </c>
      <c r="C4" s="47" t="s">
        <v>19</v>
      </c>
      <c r="D4" s="46" t="s">
        <v>20</v>
      </c>
    </row>
    <row r="5" spans="1:4">
      <c r="A5" s="46" t="s">
        <v>110</v>
      </c>
      <c r="B5" s="46" t="s">
        <v>61</v>
      </c>
      <c r="C5" s="47" t="s">
        <v>19</v>
      </c>
      <c r="D5" s="46" t="s">
        <v>21</v>
      </c>
    </row>
    <row r="6" spans="1:4">
      <c r="A6" s="46" t="s">
        <v>111</v>
      </c>
      <c r="B6" s="46" t="s">
        <v>62</v>
      </c>
      <c r="C6" s="47" t="s">
        <v>19</v>
      </c>
      <c r="D6" s="46" t="s">
        <v>21</v>
      </c>
    </row>
    <row r="7" spans="1:4">
      <c r="A7" s="46" t="s">
        <v>112</v>
      </c>
      <c r="B7" s="46" t="s">
        <v>63</v>
      </c>
      <c r="C7" s="47" t="s">
        <v>19</v>
      </c>
      <c r="D7" s="46" t="s">
        <v>21</v>
      </c>
    </row>
    <row r="8" spans="1:4">
      <c r="A8" s="46" t="s">
        <v>113</v>
      </c>
      <c r="B8" s="46" t="s">
        <v>64</v>
      </c>
      <c r="C8" s="47" t="s">
        <v>19</v>
      </c>
      <c r="D8" s="46" t="s">
        <v>20</v>
      </c>
    </row>
    <row r="9" spans="1:4">
      <c r="A9" s="46" t="s">
        <v>114</v>
      </c>
      <c r="B9" s="46" t="s">
        <v>65</v>
      </c>
      <c r="C9" s="47" t="s">
        <v>19</v>
      </c>
      <c r="D9" s="46" t="s">
        <v>21</v>
      </c>
    </row>
    <row r="10" spans="1:4">
      <c r="A10" s="46" t="s">
        <v>115</v>
      </c>
      <c r="B10" s="46" t="s">
        <v>66</v>
      </c>
      <c r="C10" s="47" t="s">
        <v>19</v>
      </c>
      <c r="D10" s="46" t="s">
        <v>21</v>
      </c>
    </row>
    <row r="11" spans="1:4">
      <c r="A11" s="46" t="s">
        <v>116</v>
      </c>
      <c r="B11" s="46" t="s">
        <v>67</v>
      </c>
      <c r="C11" s="47" t="s">
        <v>19</v>
      </c>
      <c r="D11" s="46" t="s">
        <v>21</v>
      </c>
    </row>
  </sheetData>
  <autoFilter ref="A1:D11" xr:uid="{DEAF6CF8-B5C3-47E7-8431-592B42B327B3}"/>
  <pageMargins left="0.70866141732283472" right="0.70866141732283472" top="0.74803149606299213" bottom="0.74803149606299213" header="0.31496062992125984" footer="0.31496062992125984"/>
  <pageSetup scale="57" orientation="portrait" r:id="rId1"/>
  <colBreaks count="1" manualBreakCount="1">
    <brk id="4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0B735-425D-4D02-BA82-73A78CC14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Info</vt:lpstr>
      <vt:lpstr>Dashboard</vt:lpstr>
      <vt:lpstr>CreditInfo</vt:lpstr>
      <vt:lpstr>DataProcessing</vt:lpstr>
      <vt:lpstr>QueryData</vt:lpstr>
      <vt:lpstr>CreditLimitData</vt:lpstr>
      <vt:lpstr>ClientsList</vt:lpstr>
      <vt:lpstr>ClientInfo</vt:lpstr>
      <vt:lpstr>ClientInfo!Print_Titles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Dong Sik</dc:creator>
  <cp:lastModifiedBy>Jay Park</cp:lastModifiedBy>
  <cp:lastPrinted>2025-04-18T17:56:45Z</cp:lastPrinted>
  <dcterms:created xsi:type="dcterms:W3CDTF">2025-01-15T23:04:05Z</dcterms:created>
  <dcterms:modified xsi:type="dcterms:W3CDTF">2025-06-26T06:45:37Z</dcterms:modified>
</cp:coreProperties>
</file>