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Jason\Excel\"/>
    </mc:Choice>
  </mc:AlternateContent>
  <xr:revisionPtr revIDLastSave="0" documentId="13_ncr:1_{B4044D80-7FCD-49C0-BADE-4CF124284E53}" xr6:coauthVersionLast="44" xr6:coauthVersionMax="45" xr10:uidLastSave="{00000000-0000-0000-0000-000000000000}"/>
  <bookViews>
    <workbookView xWindow="15540" yWindow="1764" windowWidth="7500" windowHeight="9432" firstSheet="1" activeTab="2" xr2:uid="{8E80657A-F9AD-4DE9-8B48-825C50D7E531}"/>
  </bookViews>
  <sheets>
    <sheet name="Buyout Year 5" sheetId="1" state="hidden" r:id="rId1"/>
    <sheet name="Buyout Year 10" sheetId="2" r:id="rId2"/>
    <sheet name="Buyout Year 15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" l="1"/>
  <c r="H18" i="2" s="1"/>
  <c r="G35" i="2"/>
  <c r="H34" i="2"/>
  <c r="G34" i="2"/>
  <c r="H35" i="2"/>
  <c r="H37" i="2" s="1"/>
  <c r="H39" i="2" s="1"/>
  <c r="G37" i="2"/>
  <c r="G39" i="2" s="1"/>
  <c r="H39" i="3"/>
  <c r="G39" i="3"/>
  <c r="H37" i="3"/>
  <c r="G37" i="3"/>
  <c r="H35" i="3"/>
  <c r="G35" i="3"/>
  <c r="H34" i="3"/>
  <c r="G34" i="3"/>
  <c r="G18" i="2" l="1"/>
  <c r="F22" i="2"/>
  <c r="H22" i="2" s="1"/>
  <c r="E18" i="2"/>
  <c r="E20" i="2"/>
  <c r="F20" i="2" s="1"/>
  <c r="E21" i="2"/>
  <c r="F21" i="2" s="1"/>
  <c r="E22" i="2"/>
  <c r="E23" i="2"/>
  <c r="E24" i="2"/>
  <c r="E25" i="2"/>
  <c r="E26" i="2"/>
  <c r="E27" i="2"/>
  <c r="E28" i="2"/>
  <c r="E19" i="2"/>
  <c r="F19" i="2" s="1"/>
  <c r="H19" i="2" s="1"/>
  <c r="E25" i="3"/>
  <c r="E24" i="3"/>
  <c r="E26" i="3"/>
  <c r="E27" i="3"/>
  <c r="E28" i="3"/>
  <c r="E23" i="3"/>
  <c r="D8" i="2"/>
  <c r="D29" i="2" s="1"/>
  <c r="F23" i="3"/>
  <c r="H23" i="3" s="1"/>
  <c r="G22" i="2" l="1"/>
  <c r="E29" i="3"/>
  <c r="G20" i="2"/>
  <c r="H20" i="2"/>
  <c r="G21" i="2"/>
  <c r="H21" i="2"/>
  <c r="G19" i="2"/>
  <c r="F25" i="2"/>
  <c r="F24" i="2"/>
  <c r="F23" i="2"/>
  <c r="G23" i="3"/>
  <c r="F24" i="3"/>
  <c r="D8" i="3"/>
  <c r="F25" i="3" l="1"/>
  <c r="G25" i="3" s="1"/>
  <c r="H25" i="2"/>
  <c r="G25" i="2"/>
  <c r="G23" i="2"/>
  <c r="H23" i="2"/>
  <c r="G24" i="2"/>
  <c r="H24" i="2"/>
  <c r="F26" i="2"/>
  <c r="H24" i="3"/>
  <c r="G24" i="3"/>
  <c r="J23" i="1"/>
  <c r="J22" i="1"/>
  <c r="J21" i="1"/>
  <c r="G26" i="2" l="1"/>
  <c r="H26" i="2"/>
  <c r="F28" i="2"/>
  <c r="F27" i="2"/>
  <c r="H25" i="3"/>
  <c r="F26" i="3"/>
  <c r="J16" i="1"/>
  <c r="G28" i="2" l="1"/>
  <c r="H28" i="2"/>
  <c r="G27" i="2"/>
  <c r="H27" i="2"/>
  <c r="F29" i="2"/>
  <c r="E29" i="2"/>
  <c r="H26" i="3"/>
  <c r="G26" i="3"/>
  <c r="F28" i="3"/>
  <c r="F27" i="3"/>
  <c r="M17" i="1"/>
  <c r="H29" i="2" l="1"/>
  <c r="G29" i="2"/>
  <c r="H27" i="3"/>
  <c r="G27" i="3"/>
  <c r="H28" i="3"/>
  <c r="G28" i="3"/>
  <c r="F29" i="3"/>
  <c r="E16" i="1"/>
  <c r="F16" i="1"/>
  <c r="G29" i="3" l="1"/>
  <c r="H29" i="3"/>
  <c r="D29" i="3"/>
  <c r="E11" i="1"/>
  <c r="E12" i="1"/>
  <c r="E13" i="1"/>
  <c r="E14" i="1"/>
  <c r="E15" i="1"/>
  <c r="F15" i="1" s="1"/>
  <c r="J15" i="1" s="1"/>
  <c r="L15" i="1" s="1"/>
  <c r="F11" i="1"/>
  <c r="G11" i="1"/>
  <c r="F12" i="1"/>
  <c r="J12" i="1" s="1"/>
  <c r="L12" i="1" s="1"/>
  <c r="G12" i="1"/>
  <c r="K12" i="1" s="1"/>
  <c r="M12" i="1" s="1"/>
  <c r="F13" i="1"/>
  <c r="J13" i="1" s="1"/>
  <c r="L13" i="1" s="1"/>
  <c r="G13" i="1"/>
  <c r="K13" i="1" s="1"/>
  <c r="M13" i="1" s="1"/>
  <c r="F14" i="1"/>
  <c r="J14" i="1" s="1"/>
  <c r="L14" i="1" s="1"/>
  <c r="G14" i="1"/>
  <c r="K14" i="1" s="1"/>
  <c r="M14" i="1" s="1"/>
  <c r="G15" i="1"/>
  <c r="K15" i="1" s="1"/>
  <c r="M15" i="1" s="1"/>
  <c r="E17" i="1"/>
  <c r="F17" i="1" s="1"/>
  <c r="E18" i="1"/>
  <c r="G18" i="1" s="1"/>
  <c r="E19" i="1"/>
  <c r="F19" i="1" s="1"/>
  <c r="E20" i="1"/>
  <c r="F20" i="1" s="1"/>
  <c r="E21" i="1"/>
  <c r="F21" i="1" s="1"/>
  <c r="E22" i="1"/>
  <c r="G22" i="1" s="1"/>
  <c r="E23" i="1"/>
  <c r="G23" i="1" s="1"/>
  <c r="E24" i="1"/>
  <c r="G24" i="1" s="1"/>
  <c r="E25" i="1"/>
  <c r="F25" i="1" s="1"/>
  <c r="E26" i="1"/>
  <c r="F26" i="1" s="1"/>
  <c r="E27" i="1"/>
  <c r="F27" i="1" s="1"/>
  <c r="E28" i="1"/>
  <c r="G28" i="1" s="1"/>
  <c r="E29" i="1"/>
  <c r="G29" i="1" s="1"/>
  <c r="E30" i="1"/>
  <c r="G30" i="1" s="1"/>
  <c r="D10" i="1"/>
  <c r="F10" i="1" l="1"/>
  <c r="E10" i="1"/>
  <c r="G10" i="1"/>
  <c r="D31" i="1"/>
  <c r="K11" i="1"/>
  <c r="M11" i="1" s="1"/>
  <c r="G34" i="1"/>
  <c r="J11" i="1"/>
  <c r="L11" i="1" s="1"/>
  <c r="F34" i="1"/>
  <c r="G17" i="1"/>
  <c r="G26" i="1"/>
  <c r="F23" i="1"/>
  <c r="G21" i="1"/>
  <c r="F18" i="1"/>
  <c r="G25" i="1"/>
  <c r="F30" i="1"/>
  <c r="F29" i="1"/>
  <c r="G20" i="1"/>
  <c r="G16" i="1"/>
  <c r="F24" i="1"/>
  <c r="G27" i="1"/>
  <c r="G19" i="1"/>
  <c r="F28" i="1"/>
  <c r="F22" i="1"/>
  <c r="E31" i="1"/>
  <c r="K16" i="1" l="1"/>
  <c r="M16" i="1" s="1"/>
  <c r="G35" i="1"/>
  <c r="L16" i="1"/>
  <c r="F35" i="1"/>
  <c r="F36" i="1"/>
  <c r="G36" i="1"/>
  <c r="K10" i="1"/>
  <c r="M10" i="1" s="1"/>
  <c r="G37" i="1"/>
  <c r="J10" i="1"/>
  <c r="L10" i="1" s="1"/>
  <c r="L17" i="1" s="1"/>
  <c r="L18" i="1" s="1"/>
  <c r="F37" i="1"/>
  <c r="G31" i="1"/>
  <c r="G39" i="1" s="1"/>
  <c r="G40" i="1" s="1"/>
  <c r="F31" i="1"/>
  <c r="F39" i="1" s="1"/>
  <c r="F40" i="1" s="1"/>
  <c r="G38" i="1" l="1"/>
  <c r="F38" i="1"/>
  <c r="M18" i="1"/>
</calcChain>
</file>

<file path=xl/sharedStrings.xml><?xml version="1.0" encoding="utf-8"?>
<sst xmlns="http://schemas.openxmlformats.org/spreadsheetml/2006/main" count="72" uniqueCount="42">
  <si>
    <t xml:space="preserve">Buyout   </t>
  </si>
  <si>
    <t>CFs</t>
  </si>
  <si>
    <t>Discount Rate</t>
  </si>
  <si>
    <t>Cashflow =</t>
  </si>
  <si>
    <t>EBITDA</t>
  </si>
  <si>
    <t>Buyout Initiation</t>
  </si>
  <si>
    <t xml:space="preserve">Investment </t>
  </si>
  <si>
    <t>Farm</t>
  </si>
  <si>
    <t>DLS</t>
  </si>
  <si>
    <t>NPV of DLS Share</t>
  </si>
  <si>
    <t>Period</t>
  </si>
  <si>
    <t>Year</t>
  </si>
  <si>
    <t>CF Period</t>
  </si>
  <si>
    <t>Flow</t>
  </si>
  <si>
    <t>PV</t>
  </si>
  <si>
    <t>Farm Initiates</t>
  </si>
  <si>
    <t>DLS Initiates</t>
  </si>
  <si>
    <t>NPV Period</t>
  </si>
  <si>
    <t>Cash Flow - Farm</t>
  </si>
  <si>
    <t>Cash Flow - DLS</t>
  </si>
  <si>
    <t>NPV - Farm</t>
  </si>
  <si>
    <t>NPV - DLS</t>
  </si>
  <si>
    <t>NPV</t>
  </si>
  <si>
    <t>ROI</t>
  </si>
  <si>
    <t>Cashflows Prior to Buyout</t>
  </si>
  <si>
    <t>Sale of Investment</t>
  </si>
  <si>
    <t>Less: Initial Investment</t>
  </si>
  <si>
    <t>NPV of Investment</t>
  </si>
  <si>
    <t>Annual ROI</t>
  </si>
  <si>
    <t xml:space="preserve">Buyout </t>
  </si>
  <si>
    <t>Buyout Formula</t>
  </si>
  <si>
    <t>Initiated By - DLS</t>
  </si>
  <si>
    <t>Initiated By - Walker</t>
  </si>
  <si>
    <t>Walker Share</t>
  </si>
  <si>
    <t>Initiated By DLS</t>
  </si>
  <si>
    <t>Initiated By Walker</t>
  </si>
  <si>
    <t>Average of Preceeding 5 Year Period</t>
  </si>
  <si>
    <t>NPV of 5 Year Remaining Period</t>
  </si>
  <si>
    <t>Walkers Share of CFs (50%)</t>
  </si>
  <si>
    <t>Discount Based of Initator</t>
  </si>
  <si>
    <t>Buyout Price</t>
  </si>
  <si>
    <t>NPV of 10 Year Remaining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</si>
</sst>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Poppins"/>
      <family val="3"/>
    </font>
    <font>
      <sz val="9"/>
      <color theme="1"/>
      <name val="Poppins"/>
      <family val="3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1" fontId="0" fillId="0" borderId="1" xfId="1" applyNumberFormat="1" applyFont="1" applyBorder="1"/>
    <xf numFmtId="43" fontId="0" fillId="0" borderId="1" xfId="0" applyNumberFormat="1" applyBorder="1"/>
    <xf numFmtId="43" fontId="0" fillId="0" borderId="1" xfId="1" applyFont="1" applyBorder="1"/>
    <xf numFmtId="165" fontId="0" fillId="0" borderId="1" xfId="1" applyNumberFormat="1" applyFont="1" applyBorder="1"/>
    <xf numFmtId="9" fontId="0" fillId="0" borderId="0" xfId="0" applyNumberForma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43" fontId="2" fillId="0" borderId="1" xfId="1" applyFont="1" applyBorder="1"/>
    <xf numFmtId="10" fontId="3" fillId="0" borderId="0" xfId="2" applyNumberFormat="1" applyFont="1" applyFill="1"/>
    <xf numFmtId="0" fontId="3" fillId="2" borderId="1" xfId="0" applyFont="1" applyFill="1" applyBorder="1"/>
    <xf numFmtId="43" fontId="4" fillId="2" borderId="0" xfId="0" applyNumberFormat="1" applyFont="1" applyFill="1"/>
    <xf numFmtId="43" fontId="4" fillId="2" borderId="1" xfId="0" applyNumberFormat="1" applyFont="1" applyFill="1" applyBorder="1"/>
    <xf numFmtId="43" fontId="3" fillId="2" borderId="0" xfId="0" applyNumberFormat="1" applyFont="1" applyFill="1"/>
    <xf numFmtId="10" fontId="3" fillId="2" borderId="0" xfId="2" applyNumberFormat="1" applyFont="1" applyFill="1"/>
    <xf numFmtId="0" fontId="3" fillId="0" borderId="0" xfId="0" applyFont="1" applyFill="1" applyBorder="1"/>
    <xf numFmtId="43" fontId="4" fillId="0" borderId="0" xfId="0" applyNumberFormat="1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43" fontId="0" fillId="0" borderId="0" xfId="0" applyNumberFormat="1" applyBorder="1"/>
    <xf numFmtId="0" fontId="0" fillId="0" borderId="0" xfId="0" applyFill="1" applyBorder="1"/>
    <xf numFmtId="43" fontId="0" fillId="0" borderId="0" xfId="0" applyNumberFormat="1" applyFill="1" applyBorder="1"/>
    <xf numFmtId="0" fontId="2" fillId="0" borderId="0" xfId="0" applyFont="1" applyFill="1" applyBorder="1"/>
    <xf numFmtId="43" fontId="0" fillId="2" borderId="0" xfId="0" applyNumberFormat="1" applyFill="1"/>
    <xf numFmtId="43" fontId="0" fillId="2" borderId="1" xfId="0" applyNumberFormat="1" applyFill="1" applyBorder="1"/>
    <xf numFmtId="43" fontId="2" fillId="2" borderId="0" xfId="0" applyNumberFormat="1" applyFont="1" applyFill="1"/>
    <xf numFmtId="10" fontId="2" fillId="2" borderId="0" xfId="2" applyNumberFormat="1" applyFont="1" applyFill="1"/>
    <xf numFmtId="43" fontId="0" fillId="0" borderId="0" xfId="1" applyFont="1" applyBorder="1"/>
    <xf numFmtId="0" fontId="4" fillId="0" borderId="0" xfId="1" applyNumberFormat="1" applyFont="1" applyFill="1"/>
    <xf numFmtId="0" fontId="4" fillId="0" borderId="0" xfId="1" applyNumberFormat="1" applyFont="1" applyFill="1" applyBorder="1"/>
    <xf numFmtId="0" fontId="0" fillId="0" borderId="0" xfId="0" applyNumberFormat="1"/>
    <xf numFmtId="0" fontId="3" fillId="0" borderId="0" xfId="0" applyNumberFormat="1" applyFont="1" applyFill="1" applyBorder="1" applyAlignment="1">
      <alignment horizontal="center"/>
    </xf>
    <xf numFmtId="0" fontId="3" fillId="0" borderId="1" xfId="1" applyNumberFormat="1" applyFont="1" applyFill="1" applyBorder="1"/>
    <xf numFmtId="0" fontId="3" fillId="0" borderId="0" xfId="0" applyNumberFormat="1" applyFont="1" applyFill="1"/>
    <xf numFmtId="0" fontId="0" fillId="0" borderId="0" xfId="0" applyNumberFormat="1" applyFill="1"/>
    <xf numFmtId="0" fontId="3" fillId="0" borderId="0" xfId="2" applyNumberFormat="1" applyFont="1" applyFill="1"/>
    <xf numFmtId="0" fontId="2" fillId="0" borderId="0" xfId="2" applyNumberFormat="1" applyFont="1"/>
    <xf numFmtId="0" fontId="4" fillId="0" borderId="1" xfId="1" applyNumberFormat="1" applyFont="1" applyFill="1" applyBorder="1"/>
    <xf numFmtId="43" fontId="0" fillId="0" borderId="1" xfId="0" applyNumberForma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10" fontId="3" fillId="0" borderId="0" xfId="2" applyNumberFormat="1" applyFont="1" applyFill="1" applyBorder="1"/>
    <xf numFmtId="10" fontId="2" fillId="0" borderId="0" xfId="2" applyNumberFormat="1" applyFont="1" applyFill="1" applyBorder="1"/>
    <xf numFmtId="0" fontId="2" fillId="0" borderId="0" xfId="0" applyNumberFormat="1" applyFont="1" applyFill="1" applyBorder="1"/>
    <xf numFmtId="164" fontId="0" fillId="0" borderId="0" xfId="0" applyNumberFormat="1" applyBorder="1"/>
    <xf numFmtId="0" fontId="5" fillId="0" borderId="1" xfId="0" applyFont="1" applyBorder="1"/>
    <xf numFmtId="43" fontId="5" fillId="0" borderId="1" xfId="1" applyFont="1" applyBorder="1"/>
    <xf numFmtId="0" fontId="6" fillId="0" borderId="0" xfId="0" applyFont="1"/>
    <xf numFmtId="1" fontId="6" fillId="0" borderId="0" xfId="1" applyNumberFormat="1" applyFont="1"/>
    <xf numFmtId="0" fontId="6" fillId="0" borderId="1" xfId="0" applyFont="1" applyBorder="1"/>
    <xf numFmtId="1" fontId="6" fillId="0" borderId="1" xfId="1" applyNumberFormat="1" applyFont="1" applyBorder="1"/>
    <xf numFmtId="0" fontId="7" fillId="0" borderId="0" xfId="0" applyFont="1"/>
    <xf numFmtId="0" fontId="8" fillId="0" borderId="0" xfId="0" applyFont="1" applyBorder="1"/>
    <xf numFmtId="43" fontId="8" fillId="0" borderId="0" xfId="1" applyFont="1" applyBorder="1"/>
    <xf numFmtId="43" fontId="5" fillId="0" borderId="1" xfId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3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43" fontId="6" fillId="0" borderId="0" xfId="0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6" fillId="0" borderId="1" xfId="1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right"/>
    </xf>
    <xf numFmtId="43" fontId="6" fillId="0" borderId="1" xfId="1" applyFont="1" applyBorder="1" applyAlignment="1">
      <alignment horizontal="right"/>
    </xf>
    <xf numFmtId="43" fontId="6" fillId="2" borderId="0" xfId="0" applyNumberFormat="1" applyFont="1" applyFill="1" applyAlignment="1">
      <alignment horizontal="right"/>
    </xf>
    <xf numFmtId="43" fontId="6" fillId="3" borderId="0" xfId="1" applyFont="1" applyFill="1" applyAlignment="1">
      <alignment horizontal="right"/>
    </xf>
    <xf numFmtId="43" fontId="6" fillId="3" borderId="1" xfId="1" applyFont="1" applyFill="1" applyBorder="1" applyAlignment="1">
      <alignment horizontal="right"/>
    </xf>
    <xf numFmtId="9" fontId="6" fillId="0" borderId="0" xfId="2" applyFont="1"/>
    <xf numFmtId="43" fontId="6" fillId="4" borderId="0" xfId="1" applyFont="1" applyFill="1" applyAlignment="1">
      <alignment horizontal="right"/>
    </xf>
    <xf numFmtId="43" fontId="6" fillId="0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right"/>
    </xf>
    <xf numFmtId="43" fontId="6" fillId="2" borderId="0" xfId="1" applyFont="1" applyFill="1" applyAlignment="1">
      <alignment horizontal="right"/>
    </xf>
    <xf numFmtId="9" fontId="0" fillId="0" borderId="1" xfId="0" applyNumberFormat="1" applyBorder="1"/>
    <xf numFmtId="9" fontId="0" fillId="0" borderId="1" xfId="0" applyNumberFormat="1" applyFont="1" applyBorder="1"/>
    <xf numFmtId="44" fontId="1" fillId="0" borderId="1" xfId="3" applyFont="1" applyFill="1" applyBorder="1" applyAlignment="1">
      <alignment horizontal="right"/>
    </xf>
    <xf numFmtId="0" fontId="2" fillId="0" borderId="1" xfId="0" applyFont="1" applyFill="1" applyBorder="1"/>
    <xf numFmtId="0" fontId="2" fillId="5" borderId="2" xfId="0" applyFont="1" applyFill="1" applyBorder="1"/>
    <xf numFmtId="0" fontId="0" fillId="5" borderId="2" xfId="0" applyFill="1" applyBorder="1"/>
    <xf numFmtId="43" fontId="2" fillId="5" borderId="2" xfId="0" applyNumberFormat="1" applyFont="1" applyFill="1" applyBorder="1"/>
    <xf numFmtId="0" fontId="3" fillId="2" borderId="0" xfId="0" applyFont="1" applyFill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A14E-5396-4854-969D-D140976B8483}">
  <dimension ref="A1:M40"/>
  <sheetViews>
    <sheetView workbookViewId="0">
      <selection activeCell="D10" sqref="D10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20.6640625" style="1" customWidth="1"/>
    <col min="4" max="4" width="14.33203125" bestFit="1" customWidth="1"/>
    <col min="5" max="5" width="10.5546875" bestFit="1" customWidth="1"/>
    <col min="6" max="6" width="13.33203125" bestFit="1" customWidth="1"/>
    <col min="7" max="7" width="11.88671875" bestFit="1" customWidth="1"/>
    <col min="8" max="8" width="3.88671875" style="29" customWidth="1"/>
    <col min="9" max="9" width="11.109375" style="39" bestFit="1" customWidth="1"/>
    <col min="10" max="10" width="16" bestFit="1" customWidth="1"/>
    <col min="11" max="11" width="14.6640625" bestFit="1" customWidth="1"/>
    <col min="12" max="12" width="10.88671875" bestFit="1" customWidth="1"/>
    <col min="13" max="13" width="9.5546875" bestFit="1" customWidth="1"/>
  </cols>
  <sheetData>
    <row r="1" spans="1:13" x14ac:dyDescent="0.3">
      <c r="C1" s="1" t="s">
        <v>0</v>
      </c>
      <c r="D1" t="s">
        <v>1</v>
      </c>
    </row>
    <row r="2" spans="1:13" x14ac:dyDescent="0.3">
      <c r="A2" t="s">
        <v>2</v>
      </c>
      <c r="C2" s="3">
        <v>0.05</v>
      </c>
      <c r="D2" s="3">
        <v>0.05</v>
      </c>
    </row>
    <row r="3" spans="1:13" x14ac:dyDescent="0.3">
      <c r="A3" t="s">
        <v>3</v>
      </c>
      <c r="C3" s="1" t="s">
        <v>4</v>
      </c>
    </row>
    <row r="4" spans="1:13" x14ac:dyDescent="0.3">
      <c r="C4" s="1" t="s">
        <v>5</v>
      </c>
      <c r="D4" t="s">
        <v>6</v>
      </c>
    </row>
    <row r="5" spans="1:13" x14ac:dyDescent="0.3">
      <c r="A5" t="s">
        <v>7</v>
      </c>
      <c r="C5" s="3">
        <v>1</v>
      </c>
      <c r="D5" s="12">
        <v>0.5</v>
      </c>
    </row>
    <row r="6" spans="1:13" x14ac:dyDescent="0.3">
      <c r="A6" t="s">
        <v>8</v>
      </c>
      <c r="C6" s="4">
        <v>0.9</v>
      </c>
      <c r="D6" s="12">
        <v>0.5</v>
      </c>
    </row>
    <row r="8" spans="1:13" x14ac:dyDescent="0.3">
      <c r="F8" s="87" t="s">
        <v>9</v>
      </c>
      <c r="G8" s="87"/>
      <c r="H8" s="26"/>
      <c r="I8" s="40"/>
    </row>
    <row r="9" spans="1:13" x14ac:dyDescent="0.3">
      <c r="A9" s="15" t="s">
        <v>10</v>
      </c>
      <c r="B9" s="16" t="s">
        <v>11</v>
      </c>
      <c r="C9" s="16" t="s">
        <v>12</v>
      </c>
      <c r="D9" s="16" t="s">
        <v>13</v>
      </c>
      <c r="E9" s="15" t="s">
        <v>14</v>
      </c>
      <c r="F9" s="18" t="s">
        <v>15</v>
      </c>
      <c r="G9" s="18" t="s">
        <v>16</v>
      </c>
      <c r="H9" s="23"/>
      <c r="I9" s="41" t="s">
        <v>17</v>
      </c>
      <c r="J9" s="15" t="s">
        <v>18</v>
      </c>
      <c r="K9" s="15" t="s">
        <v>19</v>
      </c>
      <c r="L9" s="15" t="s">
        <v>20</v>
      </c>
      <c r="M9" s="15" t="s">
        <v>21</v>
      </c>
    </row>
    <row r="10" spans="1:13" x14ac:dyDescent="0.3">
      <c r="A10">
        <v>0</v>
      </c>
      <c r="B10" s="6">
        <v>2020</v>
      </c>
      <c r="C10" s="1">
        <v>0</v>
      </c>
      <c r="D10" s="1">
        <f>-10323370/1000</f>
        <v>-10323.370000000001</v>
      </c>
      <c r="E10" s="1">
        <f>D10/(1+$C$2)^C10</f>
        <v>-10323.370000000001</v>
      </c>
      <c r="F10" s="19">
        <f>D10*$D$5</f>
        <v>-5161.6850000000004</v>
      </c>
      <c r="G10" s="19">
        <f>D10*$D$5</f>
        <v>-5161.6850000000004</v>
      </c>
      <c r="H10" s="24"/>
      <c r="I10" s="37">
        <v>0</v>
      </c>
      <c r="J10" s="2">
        <f>F10</f>
        <v>-5161.6850000000004</v>
      </c>
      <c r="K10" s="2">
        <f>G10</f>
        <v>-5161.6850000000004</v>
      </c>
      <c r="L10" s="2">
        <f>J10/(1+$D$2)^I10</f>
        <v>-5161.6850000000004</v>
      </c>
      <c r="M10" s="2">
        <f>K10/(1+$D$2)^I10</f>
        <v>-5161.6850000000004</v>
      </c>
    </row>
    <row r="11" spans="1:13" x14ac:dyDescent="0.3">
      <c r="A11">
        <v>1</v>
      </c>
      <c r="B11" s="6">
        <v>2021</v>
      </c>
      <c r="C11" s="1">
        <v>0</v>
      </c>
      <c r="D11" s="1">
        <v>1911</v>
      </c>
      <c r="E11" s="1">
        <f t="shared" ref="E11:E15" si="0">D11/(1+$C$2)^C11</f>
        <v>1911</v>
      </c>
      <c r="F11" s="19">
        <f t="shared" ref="F11:F14" si="1">D11*$D$5</f>
        <v>955.5</v>
      </c>
      <c r="G11" s="19">
        <f t="shared" ref="G11:G15" si="2">D11*$D$5</f>
        <v>955.5</v>
      </c>
      <c r="H11" s="24"/>
      <c r="I11" s="38">
        <v>1</v>
      </c>
      <c r="J11" s="28">
        <f>F11</f>
        <v>955.5</v>
      </c>
      <c r="K11" s="2">
        <f t="shared" ref="K11:K15" si="3">G11</f>
        <v>955.5</v>
      </c>
      <c r="L11" s="2">
        <f t="shared" ref="L11:L16" si="4">J11/(1+$D$2)^I11</f>
        <v>910</v>
      </c>
      <c r="M11" s="2">
        <f t="shared" ref="M11:M16" si="5">K11/(1+$D$2)^I11</f>
        <v>910</v>
      </c>
    </row>
    <row r="12" spans="1:13" x14ac:dyDescent="0.3">
      <c r="A12">
        <v>2</v>
      </c>
      <c r="B12" s="6">
        <v>2022</v>
      </c>
      <c r="C12" s="1">
        <v>0</v>
      </c>
      <c r="D12" s="1">
        <v>1924</v>
      </c>
      <c r="E12" s="1">
        <f t="shared" si="0"/>
        <v>1924</v>
      </c>
      <c r="F12" s="19">
        <f t="shared" si="1"/>
        <v>962</v>
      </c>
      <c r="G12" s="19">
        <f t="shared" si="2"/>
        <v>962</v>
      </c>
      <c r="H12" s="24"/>
      <c r="I12" s="38">
        <v>2</v>
      </c>
      <c r="J12" s="28">
        <f t="shared" ref="J12:J15" si="6">F12</f>
        <v>962</v>
      </c>
      <c r="K12" s="2">
        <f t="shared" si="3"/>
        <v>962</v>
      </c>
      <c r="L12" s="2">
        <f t="shared" si="4"/>
        <v>872.56235827664398</v>
      </c>
      <c r="M12" s="2">
        <f t="shared" si="5"/>
        <v>872.56235827664398</v>
      </c>
    </row>
    <row r="13" spans="1:13" x14ac:dyDescent="0.3">
      <c r="A13">
        <v>3</v>
      </c>
      <c r="B13" s="6">
        <v>2023</v>
      </c>
      <c r="C13" s="1">
        <v>0</v>
      </c>
      <c r="D13" s="1">
        <v>1937</v>
      </c>
      <c r="E13" s="1">
        <f t="shared" si="0"/>
        <v>1937</v>
      </c>
      <c r="F13" s="19">
        <f t="shared" si="1"/>
        <v>968.5</v>
      </c>
      <c r="G13" s="19">
        <f t="shared" si="2"/>
        <v>968.5</v>
      </c>
      <c r="H13" s="24"/>
      <c r="I13" s="38">
        <v>3</v>
      </c>
      <c r="J13" s="28">
        <f t="shared" si="6"/>
        <v>968.5</v>
      </c>
      <c r="K13" s="2">
        <f t="shared" si="3"/>
        <v>968.5</v>
      </c>
      <c r="L13" s="2">
        <f t="shared" si="4"/>
        <v>836.62671417773447</v>
      </c>
      <c r="M13" s="2">
        <f t="shared" si="5"/>
        <v>836.62671417773447</v>
      </c>
    </row>
    <row r="14" spans="1:13" x14ac:dyDescent="0.3">
      <c r="A14">
        <v>4</v>
      </c>
      <c r="B14" s="6">
        <v>2024</v>
      </c>
      <c r="C14" s="1">
        <v>0</v>
      </c>
      <c r="D14" s="1">
        <v>1949</v>
      </c>
      <c r="E14" s="1">
        <f t="shared" si="0"/>
        <v>1949</v>
      </c>
      <c r="F14" s="19">
        <f t="shared" si="1"/>
        <v>974.5</v>
      </c>
      <c r="G14" s="19">
        <f t="shared" si="2"/>
        <v>974.5</v>
      </c>
      <c r="H14" s="24"/>
      <c r="I14" s="38">
        <v>4</v>
      </c>
      <c r="J14" s="28">
        <f t="shared" si="6"/>
        <v>974.5</v>
      </c>
      <c r="K14" s="2">
        <f t="shared" si="3"/>
        <v>974.5</v>
      </c>
      <c r="L14" s="2">
        <f t="shared" si="4"/>
        <v>801.723561684689</v>
      </c>
      <c r="M14" s="2">
        <f t="shared" si="5"/>
        <v>801.723561684689</v>
      </c>
    </row>
    <row r="15" spans="1:13" x14ac:dyDescent="0.3">
      <c r="A15">
        <v>5</v>
      </c>
      <c r="B15" s="6">
        <v>2025</v>
      </c>
      <c r="C15" s="1">
        <v>0</v>
      </c>
      <c r="D15" s="2">
        <v>1962</v>
      </c>
      <c r="E15" s="1">
        <f t="shared" si="0"/>
        <v>1962</v>
      </c>
      <c r="F15" s="19">
        <f>E15*$D$5</f>
        <v>981</v>
      </c>
      <c r="G15" s="19">
        <f t="shared" si="2"/>
        <v>981</v>
      </c>
      <c r="H15" s="24"/>
      <c r="I15" s="38">
        <v>5</v>
      </c>
      <c r="J15" s="28">
        <f t="shared" si="6"/>
        <v>981</v>
      </c>
      <c r="K15" s="2">
        <f t="shared" si="3"/>
        <v>981</v>
      </c>
      <c r="L15" s="2">
        <f t="shared" si="4"/>
        <v>768.6391693055582</v>
      </c>
      <c r="M15" s="2">
        <f t="shared" si="5"/>
        <v>768.6391693055582</v>
      </c>
    </row>
    <row r="16" spans="1:13" x14ac:dyDescent="0.3">
      <c r="A16">
        <v>6</v>
      </c>
      <c r="B16" s="6">
        <v>2026</v>
      </c>
      <c r="C16" s="5">
        <v>1</v>
      </c>
      <c r="D16" s="1">
        <v>1974</v>
      </c>
      <c r="E16" s="1">
        <f>D16/(1+$C$2)^C16</f>
        <v>1880</v>
      </c>
      <c r="F16" s="19">
        <f>E16*$C$5*$D$5</f>
        <v>940</v>
      </c>
      <c r="G16" s="19">
        <f>E16*$C$6*$D$6</f>
        <v>846</v>
      </c>
      <c r="H16" s="24"/>
      <c r="I16" s="46">
        <v>6</v>
      </c>
      <c r="J16" s="47">
        <f>SUM(F16:F30)</f>
        <v>9860.0568686103943</v>
      </c>
      <c r="K16" s="47">
        <f>SUM(G16:G30)</f>
        <v>8874.0511817493552</v>
      </c>
      <c r="L16" s="9">
        <f t="shared" si="4"/>
        <v>7357.7262470698106</v>
      </c>
      <c r="M16" s="9">
        <f t="shared" si="5"/>
        <v>6621.9536223628293</v>
      </c>
    </row>
    <row r="17" spans="1:13" x14ac:dyDescent="0.3">
      <c r="A17">
        <v>7</v>
      </c>
      <c r="B17" s="6">
        <v>2027</v>
      </c>
      <c r="C17" s="5">
        <v>2</v>
      </c>
      <c r="D17" s="1">
        <v>1986</v>
      </c>
      <c r="E17" s="1">
        <f t="shared" ref="E17:E30" si="7">D17/(1+$C$2)^C17</f>
        <v>1801.360544217687</v>
      </c>
      <c r="F17" s="19">
        <f t="shared" ref="F17:F30" si="8">E17*$C$5*$D$5</f>
        <v>900.6802721088435</v>
      </c>
      <c r="G17" s="19">
        <f t="shared" ref="G17:G30" si="9">E17*$C$6*$D$6</f>
        <v>810.61224489795916</v>
      </c>
      <c r="H17" s="24"/>
      <c r="I17" s="38"/>
      <c r="J17" s="30"/>
      <c r="K17" s="52" t="s">
        <v>22</v>
      </c>
      <c r="L17" s="49">
        <f t="shared" ref="L17" si="10">SUM(L10:L16)</f>
        <v>6385.5930505144352</v>
      </c>
      <c r="M17" s="49">
        <f>SUM(M10:M16)</f>
        <v>5649.8204258074547</v>
      </c>
    </row>
    <row r="18" spans="1:13" x14ac:dyDescent="0.3">
      <c r="A18">
        <v>8</v>
      </c>
      <c r="B18" s="6">
        <v>2028</v>
      </c>
      <c r="C18" s="5">
        <v>3</v>
      </c>
      <c r="D18" s="1">
        <v>1998</v>
      </c>
      <c r="E18" s="1">
        <f t="shared" si="7"/>
        <v>1725.947521865889</v>
      </c>
      <c r="F18" s="19">
        <f t="shared" si="8"/>
        <v>862.97376093294451</v>
      </c>
      <c r="G18" s="19">
        <f t="shared" si="9"/>
        <v>776.67638483965004</v>
      </c>
      <c r="H18" s="24"/>
      <c r="I18" s="38"/>
      <c r="J18" s="29"/>
      <c r="K18" s="14" t="s">
        <v>23</v>
      </c>
      <c r="L18" s="51">
        <f>L17/(-L10)</f>
        <v>1.2371140529719336</v>
      </c>
      <c r="M18" s="51">
        <f>M17/(-M10)</f>
        <v>1.0945690071764267</v>
      </c>
    </row>
    <row r="19" spans="1:13" x14ac:dyDescent="0.3">
      <c r="A19">
        <v>9</v>
      </c>
      <c r="B19" s="6">
        <v>2029</v>
      </c>
      <c r="C19" s="5">
        <v>4</v>
      </c>
      <c r="D19" s="1">
        <v>2010</v>
      </c>
      <c r="E19" s="1">
        <f t="shared" si="7"/>
        <v>1653.6319743316828</v>
      </c>
      <c r="F19" s="19">
        <f t="shared" si="8"/>
        <v>826.81598716584142</v>
      </c>
      <c r="G19" s="19">
        <f t="shared" si="9"/>
        <v>744.13438844925724</v>
      </c>
      <c r="H19" s="24"/>
      <c r="I19" s="38"/>
      <c r="J19" s="29"/>
      <c r="K19" s="28"/>
      <c r="L19" s="36"/>
      <c r="M19" s="2"/>
    </row>
    <row r="20" spans="1:13" x14ac:dyDescent="0.3">
      <c r="A20">
        <v>10</v>
      </c>
      <c r="B20" s="6">
        <v>2030</v>
      </c>
      <c r="C20" s="5">
        <v>5</v>
      </c>
      <c r="D20" s="1">
        <v>2014</v>
      </c>
      <c r="E20" s="1">
        <f t="shared" si="7"/>
        <v>1578.0216992674764</v>
      </c>
      <c r="F20" s="19">
        <f t="shared" si="8"/>
        <v>789.01084963373819</v>
      </c>
      <c r="G20" s="19">
        <f t="shared" si="9"/>
        <v>710.10976467036437</v>
      </c>
      <c r="H20" s="24"/>
      <c r="I20" s="38"/>
      <c r="J20" s="27"/>
      <c r="K20" s="27"/>
      <c r="L20" s="28"/>
      <c r="M20" s="2"/>
    </row>
    <row r="21" spans="1:13" x14ac:dyDescent="0.3">
      <c r="A21">
        <v>11</v>
      </c>
      <c r="B21" s="6">
        <v>2031</v>
      </c>
      <c r="C21" s="5">
        <v>6</v>
      </c>
      <c r="D21" s="2">
        <v>1981</v>
      </c>
      <c r="E21" s="1">
        <f t="shared" si="7"/>
        <v>1478.2527007371593</v>
      </c>
      <c r="F21" s="19">
        <f t="shared" si="8"/>
        <v>739.12635036857966</v>
      </c>
      <c r="G21" s="19">
        <f t="shared" si="9"/>
        <v>665.21371533172169</v>
      </c>
      <c r="H21" s="24"/>
      <c r="I21" s="38"/>
      <c r="J21" s="28">
        <f>AVERAGE(D11:D15)</f>
        <v>1936.6</v>
      </c>
      <c r="K21" s="27"/>
      <c r="L21" s="27"/>
      <c r="M21" s="2"/>
    </row>
    <row r="22" spans="1:13" x14ac:dyDescent="0.3">
      <c r="A22">
        <v>12</v>
      </c>
      <c r="B22" s="6">
        <v>2032</v>
      </c>
      <c r="C22" s="5">
        <v>7</v>
      </c>
      <c r="D22" s="2">
        <v>1946</v>
      </c>
      <c r="E22" s="1">
        <f t="shared" si="7"/>
        <v>1382.9858684332164</v>
      </c>
      <c r="F22" s="19">
        <f t="shared" si="8"/>
        <v>691.49293421660821</v>
      </c>
      <c r="G22" s="19">
        <f t="shared" si="9"/>
        <v>622.34364079494742</v>
      </c>
      <c r="H22" s="24"/>
      <c r="I22" s="38"/>
      <c r="J22" s="53">
        <f>J21*15</f>
        <v>29049</v>
      </c>
      <c r="K22" s="27"/>
      <c r="L22" s="27"/>
      <c r="M22" s="2"/>
    </row>
    <row r="23" spans="1:13" x14ac:dyDescent="0.3">
      <c r="A23">
        <v>13</v>
      </c>
      <c r="B23" s="6">
        <v>2033</v>
      </c>
      <c r="C23" s="5">
        <v>8</v>
      </c>
      <c r="D23" s="2">
        <v>1911</v>
      </c>
      <c r="E23" s="1">
        <f t="shared" si="7"/>
        <v>1293.4400208368213</v>
      </c>
      <c r="F23" s="19">
        <f t="shared" si="8"/>
        <v>646.72001041841065</v>
      </c>
      <c r="G23" s="19">
        <f t="shared" si="9"/>
        <v>582.04800937656955</v>
      </c>
      <c r="H23" s="24"/>
      <c r="I23" s="38"/>
      <c r="J23" s="53">
        <f>J22/2</f>
        <v>14524.5</v>
      </c>
      <c r="K23" s="27"/>
      <c r="L23" s="27"/>
      <c r="M23" s="2"/>
    </row>
    <row r="24" spans="1:13" x14ac:dyDescent="0.3">
      <c r="A24">
        <v>14</v>
      </c>
      <c r="B24" s="6">
        <v>2034</v>
      </c>
      <c r="C24" s="5">
        <v>9</v>
      </c>
      <c r="D24" s="2">
        <v>1875</v>
      </c>
      <c r="E24" s="1">
        <f t="shared" si="7"/>
        <v>1208.6417179083699</v>
      </c>
      <c r="F24" s="19">
        <f t="shared" si="8"/>
        <v>604.32085895418493</v>
      </c>
      <c r="G24" s="19">
        <f t="shared" si="9"/>
        <v>543.88877305876645</v>
      </c>
      <c r="H24" s="24"/>
      <c r="I24" s="38"/>
      <c r="J24" s="27"/>
      <c r="K24" s="27"/>
      <c r="L24" s="27"/>
      <c r="M24" s="2"/>
    </row>
    <row r="25" spans="1:13" x14ac:dyDescent="0.3">
      <c r="A25">
        <v>15</v>
      </c>
      <c r="B25" s="6">
        <v>2035</v>
      </c>
      <c r="C25" s="5">
        <v>10</v>
      </c>
      <c r="D25" s="2">
        <v>1839</v>
      </c>
      <c r="E25" s="1">
        <f t="shared" si="7"/>
        <v>1128.9864732614565</v>
      </c>
      <c r="F25" s="19">
        <f t="shared" si="8"/>
        <v>564.49323663072823</v>
      </c>
      <c r="G25" s="19">
        <f t="shared" si="9"/>
        <v>508.04391296765544</v>
      </c>
      <c r="H25" s="24"/>
      <c r="I25" s="38"/>
      <c r="J25" s="27"/>
      <c r="K25" s="27"/>
      <c r="L25" s="27"/>
      <c r="M25" s="2"/>
    </row>
    <row r="26" spans="1:13" x14ac:dyDescent="0.3">
      <c r="A26">
        <v>16</v>
      </c>
      <c r="B26" s="6">
        <v>2036</v>
      </c>
      <c r="C26" s="5">
        <v>11</v>
      </c>
      <c r="D26" s="2">
        <v>1801</v>
      </c>
      <c r="E26" s="1">
        <f t="shared" si="7"/>
        <v>1053.0073996446738</v>
      </c>
      <c r="F26" s="19">
        <f t="shared" si="8"/>
        <v>526.5036998223369</v>
      </c>
      <c r="G26" s="19">
        <f t="shared" si="9"/>
        <v>473.85332984010324</v>
      </c>
      <c r="H26" s="24"/>
      <c r="I26" s="38"/>
      <c r="M26" s="2"/>
    </row>
    <row r="27" spans="1:13" x14ac:dyDescent="0.3">
      <c r="A27">
        <v>17</v>
      </c>
      <c r="B27" s="6">
        <v>2037</v>
      </c>
      <c r="C27" s="5">
        <v>12</v>
      </c>
      <c r="D27" s="2">
        <v>1763</v>
      </c>
      <c r="E27" s="1">
        <f t="shared" si="7"/>
        <v>981.70436824703745</v>
      </c>
      <c r="F27" s="19">
        <f t="shared" si="8"/>
        <v>490.85218412351873</v>
      </c>
      <c r="G27" s="19">
        <f t="shared" si="9"/>
        <v>441.76696571116685</v>
      </c>
      <c r="H27" s="24"/>
      <c r="I27" s="38"/>
      <c r="M27" s="2"/>
    </row>
    <row r="28" spans="1:13" x14ac:dyDescent="0.3">
      <c r="A28">
        <v>18</v>
      </c>
      <c r="B28" s="6">
        <v>2038</v>
      </c>
      <c r="C28" s="5">
        <v>13</v>
      </c>
      <c r="D28" s="2">
        <v>1724</v>
      </c>
      <c r="E28" s="1">
        <f t="shared" si="7"/>
        <v>914.27400851248797</v>
      </c>
      <c r="F28" s="19">
        <f t="shared" si="8"/>
        <v>457.13700425624398</v>
      </c>
      <c r="G28" s="19">
        <f t="shared" si="9"/>
        <v>411.4233038306196</v>
      </c>
      <c r="H28" s="24"/>
      <c r="I28" s="38"/>
      <c r="M28" s="2"/>
    </row>
    <row r="29" spans="1:13" x14ac:dyDescent="0.3">
      <c r="A29">
        <v>19</v>
      </c>
      <c r="B29" s="6">
        <v>2039</v>
      </c>
      <c r="C29" s="5">
        <v>14</v>
      </c>
      <c r="D29" s="2">
        <v>1683</v>
      </c>
      <c r="E29" s="1">
        <f t="shared" si="7"/>
        <v>850.02936489145827</v>
      </c>
      <c r="F29" s="19">
        <f t="shared" si="8"/>
        <v>425.01468244572914</v>
      </c>
      <c r="G29" s="19">
        <f t="shared" si="9"/>
        <v>382.51321420115625</v>
      </c>
      <c r="H29" s="24"/>
      <c r="I29" s="38"/>
      <c r="M29" s="2"/>
    </row>
    <row r="30" spans="1:13" x14ac:dyDescent="0.3">
      <c r="A30" s="7">
        <v>20</v>
      </c>
      <c r="B30" s="8">
        <v>2040</v>
      </c>
      <c r="C30" s="11">
        <v>15</v>
      </c>
      <c r="D30" s="9">
        <v>1642</v>
      </c>
      <c r="E30" s="10">
        <f t="shared" si="7"/>
        <v>789.83007506537308</v>
      </c>
      <c r="F30" s="20">
        <f t="shared" si="8"/>
        <v>394.91503753268654</v>
      </c>
      <c r="G30" s="20">
        <f t="shared" si="9"/>
        <v>355.42353377941788</v>
      </c>
      <c r="H30" s="24"/>
      <c r="I30" s="38"/>
      <c r="M30" s="2"/>
    </row>
    <row r="31" spans="1:13" x14ac:dyDescent="0.3">
      <c r="D31" s="2">
        <f>SUM(D10:D30)</f>
        <v>27506.629999999997</v>
      </c>
      <c r="E31" s="2">
        <f>SUM(E10:E30)</f>
        <v>19079.743737220786</v>
      </c>
      <c r="F31" s="21">
        <f>SUM(F10:F30)</f>
        <v>9539.871868610393</v>
      </c>
      <c r="G31" s="21">
        <f>SUM(G10:G30)</f>
        <v>8553.8661817493557</v>
      </c>
      <c r="H31" s="48"/>
      <c r="I31" s="42"/>
    </row>
    <row r="32" spans="1:13" x14ac:dyDescent="0.3">
      <c r="I32" s="43"/>
    </row>
    <row r="33" spans="4:9" x14ac:dyDescent="0.3">
      <c r="I33" s="43"/>
    </row>
    <row r="34" spans="4:9" x14ac:dyDescent="0.3">
      <c r="D34" t="s">
        <v>24</v>
      </c>
      <c r="F34" s="32">
        <f>SUM(F11:F15)</f>
        <v>4841.5</v>
      </c>
      <c r="G34" s="32">
        <f>SUM(G11:G15)</f>
        <v>4841.5</v>
      </c>
      <c r="H34" s="30"/>
      <c r="I34" s="44"/>
    </row>
    <row r="35" spans="4:9" x14ac:dyDescent="0.3">
      <c r="D35" s="7" t="s">
        <v>25</v>
      </c>
      <c r="E35" s="7"/>
      <c r="F35" s="33">
        <f>SUM(F16:F30)</f>
        <v>9860.0568686103943</v>
      </c>
      <c r="G35" s="33">
        <f>SUM(G16:G30)</f>
        <v>8874.0511817493552</v>
      </c>
      <c r="H35" s="30"/>
      <c r="I35" s="45"/>
    </row>
    <row r="36" spans="4:9" x14ac:dyDescent="0.3">
      <c r="F36" s="32">
        <f>SUM(F34:F35)</f>
        <v>14701.556868610394</v>
      </c>
      <c r="G36" s="32">
        <f>SUM(G34:G35)</f>
        <v>13715.551181749355</v>
      </c>
      <c r="H36" s="30"/>
    </row>
    <row r="37" spans="4:9" x14ac:dyDescent="0.3">
      <c r="D37" s="7" t="s">
        <v>26</v>
      </c>
      <c r="E37" s="7"/>
      <c r="F37" s="33">
        <f>F10</f>
        <v>-5161.6850000000004</v>
      </c>
      <c r="G37" s="33">
        <f>G10</f>
        <v>-5161.6850000000004</v>
      </c>
      <c r="H37" s="30"/>
    </row>
    <row r="38" spans="4:9" x14ac:dyDescent="0.3">
      <c r="D38" s="31" t="s">
        <v>27</v>
      </c>
      <c r="E38" s="13"/>
      <c r="F38" s="34">
        <f>F36+F37</f>
        <v>9539.871868610393</v>
      </c>
      <c r="G38" s="34">
        <f>G36+G37</f>
        <v>8553.8661817493557</v>
      </c>
      <c r="H38" s="49"/>
    </row>
    <row r="39" spans="4:9" x14ac:dyDescent="0.3">
      <c r="D39" s="17" t="s">
        <v>23</v>
      </c>
      <c r="E39" s="25"/>
      <c r="F39" s="22">
        <f>F31/((-$D$10)*0.5)</f>
        <v>1.8482088443231992</v>
      </c>
      <c r="G39" s="22">
        <f>G31/((-$D$10)*0.5)</f>
        <v>1.6571848498599497</v>
      </c>
      <c r="H39" s="50"/>
    </row>
    <row r="40" spans="4:9" x14ac:dyDescent="0.3">
      <c r="D40" s="31" t="s">
        <v>28</v>
      </c>
      <c r="F40" s="35">
        <f>F39/5</f>
        <v>0.36964176886463984</v>
      </c>
      <c r="G40" s="35">
        <f>G39/5</f>
        <v>0.33143696997198996</v>
      </c>
      <c r="H40" s="51"/>
    </row>
  </sheetData>
  <mergeCells count="1">
    <mergeCell ref="F8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681C-CBDF-4031-9AB1-74C25FB47BEB}">
  <dimension ref="A1:H41"/>
  <sheetViews>
    <sheetView topLeftCell="A19" workbookViewId="0">
      <selection activeCell="E18" sqref="E18"/>
    </sheetView>
  </sheetViews>
  <sheetFormatPr defaultRowHeight="14.4" x14ac:dyDescent="0.3"/>
  <cols>
    <col min="1" max="1" width="12.5546875" bestFit="1" customWidth="1"/>
    <col min="2" max="2" width="6.88671875" bestFit="1" customWidth="1"/>
    <col min="3" max="3" width="14.6640625" style="1" bestFit="1" customWidth="1"/>
    <col min="4" max="4" width="10.6640625" bestFit="1" customWidth="1"/>
    <col min="5" max="5" width="14.6640625" bestFit="1" customWidth="1"/>
    <col min="6" max="6" width="23.44140625" customWidth="1"/>
    <col min="7" max="7" width="17" bestFit="1" customWidth="1"/>
    <col min="8" max="8" width="18.33203125" bestFit="1" customWidth="1"/>
  </cols>
  <sheetData>
    <row r="1" spans="1:8" ht="18" x14ac:dyDescent="0.6">
      <c r="A1" s="56"/>
      <c r="B1" s="56"/>
      <c r="C1" s="56" t="s">
        <v>29</v>
      </c>
      <c r="D1" s="56"/>
      <c r="E1" s="60"/>
      <c r="F1" s="60"/>
      <c r="G1" s="60"/>
      <c r="H1" s="60"/>
    </row>
    <row r="2" spans="1:8" ht="18" x14ac:dyDescent="0.6">
      <c r="A2" s="56" t="s">
        <v>2</v>
      </c>
      <c r="B2" s="56"/>
      <c r="C2" s="75">
        <v>0.05</v>
      </c>
      <c r="D2" s="56"/>
      <c r="E2" s="60"/>
      <c r="F2" s="60"/>
      <c r="G2" s="60"/>
      <c r="H2" s="60"/>
    </row>
    <row r="3" spans="1:8" ht="18" x14ac:dyDescent="0.6">
      <c r="A3" s="56"/>
      <c r="B3" s="56"/>
      <c r="C3" s="56" t="s">
        <v>5</v>
      </c>
      <c r="D3" s="56" t="s">
        <v>6</v>
      </c>
      <c r="E3" s="60"/>
      <c r="F3" s="60"/>
      <c r="G3" s="60"/>
      <c r="H3" s="60"/>
    </row>
    <row r="4" spans="1:8" ht="18" x14ac:dyDescent="0.6">
      <c r="A4" s="56" t="s">
        <v>7</v>
      </c>
      <c r="B4" s="56"/>
      <c r="C4" s="75">
        <v>1</v>
      </c>
      <c r="D4" s="75">
        <v>0.5</v>
      </c>
      <c r="E4" s="60"/>
      <c r="F4" s="60"/>
      <c r="G4" s="60"/>
      <c r="H4" s="60"/>
    </row>
    <row r="5" spans="1:8" ht="18" x14ac:dyDescent="0.6">
      <c r="A5" s="56" t="s">
        <v>8</v>
      </c>
      <c r="B5" s="56"/>
      <c r="C5" s="75">
        <v>0.9</v>
      </c>
      <c r="D5" s="75">
        <v>0.5</v>
      </c>
      <c r="E5" s="60"/>
      <c r="F5" s="60"/>
      <c r="G5" s="60"/>
      <c r="H5" s="60"/>
    </row>
    <row r="6" spans="1:8" x14ac:dyDescent="0.3">
      <c r="A6" s="61"/>
      <c r="B6" s="61"/>
      <c r="C6" s="62"/>
      <c r="D6" s="61"/>
      <c r="E6" s="61"/>
      <c r="F6" s="60"/>
      <c r="G6" s="60"/>
      <c r="H6" s="60"/>
    </row>
    <row r="7" spans="1:8" ht="18" x14ac:dyDescent="0.6">
      <c r="A7" s="54" t="s">
        <v>10</v>
      </c>
      <c r="B7" s="55" t="s">
        <v>11</v>
      </c>
      <c r="C7" s="63" t="s">
        <v>12</v>
      </c>
      <c r="D7" s="63" t="s">
        <v>13</v>
      </c>
      <c r="E7" s="64" t="s">
        <v>30</v>
      </c>
      <c r="F7" s="64" t="s">
        <v>33</v>
      </c>
      <c r="G7" s="64" t="s">
        <v>31</v>
      </c>
      <c r="H7" s="64" t="s">
        <v>32</v>
      </c>
    </row>
    <row r="8" spans="1:8" ht="18" x14ac:dyDescent="0.6">
      <c r="A8" s="56">
        <v>0</v>
      </c>
      <c r="B8" s="57">
        <v>2020</v>
      </c>
      <c r="C8" s="65">
        <v>0</v>
      </c>
      <c r="D8" s="65">
        <f>-7086780/1000</f>
        <v>-7086.78</v>
      </c>
      <c r="E8" s="65"/>
      <c r="F8" s="66"/>
      <c r="G8" s="66"/>
      <c r="H8" s="66"/>
    </row>
    <row r="9" spans="1:8" ht="18" x14ac:dyDescent="0.6">
      <c r="A9" s="56">
        <v>1</v>
      </c>
      <c r="B9" s="57">
        <v>2021</v>
      </c>
      <c r="C9" s="65">
        <v>0</v>
      </c>
      <c r="D9" s="65">
        <v>1299</v>
      </c>
      <c r="E9" s="65"/>
      <c r="F9" s="66"/>
      <c r="G9" s="66"/>
      <c r="H9" s="66"/>
    </row>
    <row r="10" spans="1:8" ht="18" x14ac:dyDescent="0.6">
      <c r="A10" s="56">
        <v>2</v>
      </c>
      <c r="B10" s="57">
        <v>2022</v>
      </c>
      <c r="C10" s="65">
        <v>0</v>
      </c>
      <c r="D10" s="65">
        <v>1308</v>
      </c>
      <c r="E10" s="65"/>
      <c r="F10" s="66"/>
      <c r="G10" s="66"/>
      <c r="H10" s="66"/>
    </row>
    <row r="11" spans="1:8" ht="18" x14ac:dyDescent="0.6">
      <c r="A11" s="56">
        <v>3</v>
      </c>
      <c r="B11" s="57">
        <v>2023</v>
      </c>
      <c r="C11" s="65">
        <v>0</v>
      </c>
      <c r="D11" s="65">
        <v>1316</v>
      </c>
      <c r="E11" s="65"/>
      <c r="F11" s="66"/>
      <c r="G11" s="66"/>
      <c r="H11" s="66"/>
    </row>
    <row r="12" spans="1:8" ht="18" x14ac:dyDescent="0.6">
      <c r="A12" s="56">
        <v>4</v>
      </c>
      <c r="B12" s="57">
        <v>2024</v>
      </c>
      <c r="C12" s="65">
        <v>0</v>
      </c>
      <c r="D12" s="65">
        <v>1325</v>
      </c>
      <c r="E12" s="65"/>
      <c r="F12" s="66"/>
      <c r="G12" s="66"/>
      <c r="H12" s="66"/>
    </row>
    <row r="13" spans="1:8" ht="18" x14ac:dyDescent="0.6">
      <c r="A13" s="56">
        <v>5</v>
      </c>
      <c r="B13" s="57">
        <v>2025</v>
      </c>
      <c r="C13" s="65">
        <v>0</v>
      </c>
      <c r="D13" s="67">
        <v>1333</v>
      </c>
      <c r="E13" s="65"/>
      <c r="F13" s="66"/>
      <c r="G13" s="66"/>
      <c r="H13" s="66"/>
    </row>
    <row r="14" spans="1:8" ht="18" x14ac:dyDescent="0.6">
      <c r="A14" s="56">
        <v>6</v>
      </c>
      <c r="B14" s="57">
        <v>2026</v>
      </c>
      <c r="C14" s="68">
        <v>0</v>
      </c>
      <c r="D14" s="79">
        <v>1342</v>
      </c>
      <c r="E14" s="65"/>
      <c r="F14" s="66"/>
      <c r="G14" s="66"/>
      <c r="H14" s="66"/>
    </row>
    <row r="15" spans="1:8" ht="18" x14ac:dyDescent="0.6">
      <c r="A15" s="56">
        <v>7</v>
      </c>
      <c r="B15" s="57">
        <v>2027</v>
      </c>
      <c r="C15" s="68">
        <v>0</v>
      </c>
      <c r="D15" s="79">
        <v>1350</v>
      </c>
      <c r="E15" s="65"/>
      <c r="F15" s="66"/>
      <c r="G15" s="66"/>
      <c r="H15" s="66"/>
    </row>
    <row r="16" spans="1:8" ht="18" x14ac:dyDescent="0.6">
      <c r="A16" s="56">
        <v>8</v>
      </c>
      <c r="B16" s="57">
        <v>2028</v>
      </c>
      <c r="C16" s="68">
        <v>0</v>
      </c>
      <c r="D16" s="79">
        <v>1358</v>
      </c>
      <c r="E16" s="65"/>
      <c r="F16" s="66"/>
      <c r="G16" s="66"/>
      <c r="H16" s="66"/>
    </row>
    <row r="17" spans="1:8" ht="18" x14ac:dyDescent="0.6">
      <c r="A17" s="56">
        <v>9</v>
      </c>
      <c r="B17" s="57">
        <v>2029</v>
      </c>
      <c r="C17" s="68">
        <v>0</v>
      </c>
      <c r="D17" s="79">
        <v>1367</v>
      </c>
      <c r="E17" s="65"/>
      <c r="F17" s="66"/>
      <c r="G17" s="66"/>
      <c r="H17" s="66"/>
    </row>
    <row r="18" spans="1:8" ht="18" x14ac:dyDescent="0.6">
      <c r="A18" s="56">
        <v>10</v>
      </c>
      <c r="B18" s="57">
        <v>2030</v>
      </c>
      <c r="C18" s="68">
        <v>0</v>
      </c>
      <c r="D18" s="79">
        <v>1369</v>
      </c>
      <c r="E18" s="76">
        <f>AVERAGE(D14:D18)</f>
        <v>1357.2</v>
      </c>
      <c r="F18" s="65">
        <f t="shared" ref="F18" si="0">E18*$D$5</f>
        <v>678.6</v>
      </c>
      <c r="G18" s="65">
        <f t="shared" ref="G18" si="1">F18*$C$5</f>
        <v>610.74</v>
      </c>
      <c r="H18" s="65">
        <f t="shared" ref="H18" si="2">F18*$C$4</f>
        <v>678.6</v>
      </c>
    </row>
    <row r="19" spans="1:8" ht="18" x14ac:dyDescent="0.6">
      <c r="A19" s="56">
        <v>11</v>
      </c>
      <c r="B19" s="57">
        <v>2031</v>
      </c>
      <c r="C19" s="68">
        <v>1</v>
      </c>
      <c r="D19" s="77">
        <v>1346</v>
      </c>
      <c r="E19" s="73">
        <f>$E$18/(1+$C$2)^C19</f>
        <v>1292.5714285714287</v>
      </c>
      <c r="F19" s="65">
        <f t="shared" ref="F19:F22" si="3">E19*$D$5</f>
        <v>646.28571428571433</v>
      </c>
      <c r="G19" s="65">
        <f t="shared" ref="G19:G22" si="4">F19*$C$5</f>
        <v>581.65714285714296</v>
      </c>
      <c r="H19" s="65">
        <f t="shared" ref="H19:H22" si="5">F19*$C$4</f>
        <v>646.28571428571433</v>
      </c>
    </row>
    <row r="20" spans="1:8" ht="18" x14ac:dyDescent="0.6">
      <c r="A20" s="56">
        <v>12</v>
      </c>
      <c r="B20" s="57">
        <v>2032</v>
      </c>
      <c r="C20" s="68">
        <v>2</v>
      </c>
      <c r="D20" s="77">
        <v>1322</v>
      </c>
      <c r="E20" s="73">
        <f t="shared" ref="E20:E28" si="6">$E$18/(1+$C$2)^C20</f>
        <v>1231.0204081632653</v>
      </c>
      <c r="F20" s="65">
        <f t="shared" si="3"/>
        <v>615.51020408163265</v>
      </c>
      <c r="G20" s="65">
        <f t="shared" si="4"/>
        <v>553.9591836734694</v>
      </c>
      <c r="H20" s="65">
        <f t="shared" si="5"/>
        <v>615.51020408163265</v>
      </c>
    </row>
    <row r="21" spans="1:8" ht="18" x14ac:dyDescent="0.6">
      <c r="A21" s="56">
        <v>13</v>
      </c>
      <c r="B21" s="57">
        <v>2033</v>
      </c>
      <c r="C21" s="68">
        <v>3</v>
      </c>
      <c r="D21" s="77">
        <v>1298</v>
      </c>
      <c r="E21" s="73">
        <f t="shared" si="6"/>
        <v>1172.4003887269193</v>
      </c>
      <c r="F21" s="65">
        <f t="shared" si="3"/>
        <v>586.20019436345967</v>
      </c>
      <c r="G21" s="65">
        <f t="shared" si="4"/>
        <v>527.58017492711372</v>
      </c>
      <c r="H21" s="65">
        <f t="shared" si="5"/>
        <v>586.20019436345967</v>
      </c>
    </row>
    <row r="22" spans="1:8" ht="18" x14ac:dyDescent="0.6">
      <c r="A22" s="56">
        <v>14</v>
      </c>
      <c r="B22" s="57">
        <v>2034</v>
      </c>
      <c r="C22" s="68">
        <v>4</v>
      </c>
      <c r="D22" s="77">
        <v>1273</v>
      </c>
      <c r="E22" s="73">
        <f t="shared" si="6"/>
        <v>1116.5717987875423</v>
      </c>
      <c r="F22" s="65">
        <f t="shared" si="3"/>
        <v>558.28589939377116</v>
      </c>
      <c r="G22" s="65">
        <f t="shared" si="4"/>
        <v>502.45730945439408</v>
      </c>
      <c r="H22" s="65">
        <f t="shared" si="5"/>
        <v>558.28589939377116</v>
      </c>
    </row>
    <row r="23" spans="1:8" ht="18" x14ac:dyDescent="0.6">
      <c r="A23" s="56">
        <v>15</v>
      </c>
      <c r="B23" s="57">
        <v>2035</v>
      </c>
      <c r="C23" s="68">
        <v>5</v>
      </c>
      <c r="D23" s="77">
        <v>1247</v>
      </c>
      <c r="E23" s="73">
        <f t="shared" si="6"/>
        <v>1063.4017131309924</v>
      </c>
      <c r="F23" s="65">
        <f>E23*$D$5</f>
        <v>531.70085656549622</v>
      </c>
      <c r="G23" s="65">
        <f>F23*$C$5</f>
        <v>478.53077090894664</v>
      </c>
      <c r="H23" s="65">
        <f>F23*$C$4</f>
        <v>531.70085656549622</v>
      </c>
    </row>
    <row r="24" spans="1:8" ht="18" x14ac:dyDescent="0.6">
      <c r="A24" s="56">
        <v>16</v>
      </c>
      <c r="B24" s="57">
        <v>2036</v>
      </c>
      <c r="C24" s="68">
        <v>6</v>
      </c>
      <c r="D24" s="67">
        <v>1221</v>
      </c>
      <c r="E24" s="73">
        <f t="shared" si="6"/>
        <v>1012.7635363152311</v>
      </c>
      <c r="F24" s="65">
        <f t="shared" ref="F24:F28" si="7">E24*$D$5</f>
        <v>506.38176815761557</v>
      </c>
      <c r="G24" s="65">
        <f t="shared" ref="G24:G28" si="8">F24*$C$5</f>
        <v>455.74359134185403</v>
      </c>
      <c r="H24" s="65">
        <f t="shared" ref="H24:H28" si="9">F24*$C$4</f>
        <v>506.38176815761557</v>
      </c>
    </row>
    <row r="25" spans="1:8" ht="18" x14ac:dyDescent="0.6">
      <c r="A25" s="56">
        <v>17</v>
      </c>
      <c r="B25" s="57">
        <v>2037</v>
      </c>
      <c r="C25" s="68">
        <v>7</v>
      </c>
      <c r="D25" s="67">
        <v>1195</v>
      </c>
      <c r="E25" s="73">
        <f t="shared" si="6"/>
        <v>964.53670125260089</v>
      </c>
      <c r="F25" s="65">
        <f t="shared" si="7"/>
        <v>482.26835062630045</v>
      </c>
      <c r="G25" s="65">
        <f t="shared" si="8"/>
        <v>434.04151556367043</v>
      </c>
      <c r="H25" s="65">
        <f t="shared" si="9"/>
        <v>482.26835062630045</v>
      </c>
    </row>
    <row r="26" spans="1:8" ht="18" x14ac:dyDescent="0.6">
      <c r="A26" s="56">
        <v>18</v>
      </c>
      <c r="B26" s="57">
        <v>2038</v>
      </c>
      <c r="C26" s="68">
        <v>8</v>
      </c>
      <c r="D26" s="67">
        <v>1168</v>
      </c>
      <c r="E26" s="73">
        <f t="shared" si="6"/>
        <v>918.60638214533424</v>
      </c>
      <c r="F26" s="65">
        <f t="shared" si="7"/>
        <v>459.30319107266712</v>
      </c>
      <c r="G26" s="65">
        <f t="shared" si="8"/>
        <v>413.37287196540041</v>
      </c>
      <c r="H26" s="65">
        <f t="shared" si="9"/>
        <v>459.30319107266712</v>
      </c>
    </row>
    <row r="27" spans="1:8" ht="18" x14ac:dyDescent="0.6">
      <c r="A27" s="56">
        <v>19</v>
      </c>
      <c r="B27" s="57">
        <v>2039</v>
      </c>
      <c r="C27" s="68">
        <v>9</v>
      </c>
      <c r="D27" s="67">
        <v>1140</v>
      </c>
      <c r="E27" s="73">
        <f t="shared" si="6"/>
        <v>874.86322109079447</v>
      </c>
      <c r="F27" s="65">
        <f t="shared" si="7"/>
        <v>437.43161054539723</v>
      </c>
      <c r="G27" s="65">
        <f t="shared" si="8"/>
        <v>393.68844949085752</v>
      </c>
      <c r="H27" s="65">
        <f t="shared" si="9"/>
        <v>437.43161054539723</v>
      </c>
    </row>
    <row r="28" spans="1:8" ht="18" x14ac:dyDescent="0.6">
      <c r="A28" s="58">
        <v>20</v>
      </c>
      <c r="B28" s="59">
        <v>2040</v>
      </c>
      <c r="C28" s="69">
        <v>10</v>
      </c>
      <c r="D28" s="70">
        <v>1111</v>
      </c>
      <c r="E28" s="74">
        <f t="shared" si="6"/>
        <v>833.20306770551861</v>
      </c>
      <c r="F28" s="71">
        <f t="shared" si="7"/>
        <v>416.6015338527593</v>
      </c>
      <c r="G28" s="71">
        <f t="shared" si="8"/>
        <v>374.94138046748338</v>
      </c>
      <c r="H28" s="71">
        <f t="shared" si="9"/>
        <v>416.6015338527593</v>
      </c>
    </row>
    <row r="29" spans="1:8" ht="18" x14ac:dyDescent="0.6">
      <c r="A29" s="56"/>
      <c r="B29" s="56"/>
      <c r="C29" s="65"/>
      <c r="D29" s="67">
        <f>SUM(D8:D28)</f>
        <v>18601.22</v>
      </c>
      <c r="E29" s="67">
        <f>SUM(E8:E28)</f>
        <v>11837.138645889627</v>
      </c>
      <c r="F29" s="67">
        <f>SUM(F8:F28)</f>
        <v>5918.5693229448134</v>
      </c>
      <c r="G29" s="67">
        <f t="shared" ref="G29:H29" si="10">SUM(G8:G28)</f>
        <v>5326.7123906503311</v>
      </c>
      <c r="H29" s="67">
        <f t="shared" si="10"/>
        <v>5918.5693229448134</v>
      </c>
    </row>
    <row r="32" spans="1:8" x14ac:dyDescent="0.3">
      <c r="C32" s="36"/>
      <c r="D32" s="27"/>
      <c r="E32" s="27"/>
      <c r="F32" s="27"/>
      <c r="G32" s="27"/>
    </row>
    <row r="33" spans="3:8" x14ac:dyDescent="0.3">
      <c r="C33" s="36"/>
      <c r="D33" s="27"/>
      <c r="F33" s="14"/>
      <c r="G33" s="78" t="s">
        <v>34</v>
      </c>
      <c r="H33" s="78" t="s">
        <v>35</v>
      </c>
    </row>
    <row r="34" spans="3:8" x14ac:dyDescent="0.3">
      <c r="C34" s="36"/>
      <c r="D34" s="27"/>
      <c r="E34" s="15" t="s">
        <v>36</v>
      </c>
      <c r="F34" s="7"/>
      <c r="G34" s="82">
        <f>E18</f>
        <v>1357.2</v>
      </c>
      <c r="H34" s="82">
        <f>E18</f>
        <v>1357.2</v>
      </c>
    </row>
    <row r="35" spans="3:8" x14ac:dyDescent="0.3">
      <c r="D35" s="27"/>
      <c r="E35" s="14" t="s">
        <v>41</v>
      </c>
      <c r="G35" s="28">
        <f>E29</f>
        <v>11837.138645889627</v>
      </c>
      <c r="H35" s="2">
        <f>E29</f>
        <v>11837.138645889627</v>
      </c>
    </row>
    <row r="36" spans="3:8" x14ac:dyDescent="0.3">
      <c r="D36" s="27"/>
      <c r="E36" s="15" t="s">
        <v>38</v>
      </c>
      <c r="F36" s="15"/>
      <c r="G36" s="81">
        <v>0.5</v>
      </c>
      <c r="H36" s="81">
        <v>0.5</v>
      </c>
    </row>
    <row r="37" spans="3:8" x14ac:dyDescent="0.3">
      <c r="D37" s="27"/>
      <c r="G37" s="28">
        <f>G35*G36</f>
        <v>5918.5693229448134</v>
      </c>
      <c r="H37" s="28">
        <f>H35*H36</f>
        <v>5918.5693229448134</v>
      </c>
    </row>
    <row r="38" spans="3:8" x14ac:dyDescent="0.3">
      <c r="D38" s="31"/>
      <c r="E38" s="83" t="s">
        <v>39</v>
      </c>
      <c r="F38" s="7"/>
      <c r="G38" s="80">
        <v>0.1</v>
      </c>
      <c r="H38" s="80">
        <v>0</v>
      </c>
    </row>
    <row r="39" spans="3:8" ht="15" thickBot="1" x14ac:dyDescent="0.35">
      <c r="D39" s="50"/>
      <c r="E39" s="84" t="s">
        <v>40</v>
      </c>
      <c r="F39" s="85"/>
      <c r="G39" s="86">
        <f>(G37*(1-G38))*1000</f>
        <v>5326712.390650332</v>
      </c>
      <c r="H39" s="86">
        <f>(H37*(1-H38))*1000</f>
        <v>5918569.3229448134</v>
      </c>
    </row>
    <row r="40" spans="3:8" ht="15" thickTop="1" x14ac:dyDescent="0.3">
      <c r="D40" s="31"/>
      <c r="E40" s="27"/>
      <c r="F40" s="27"/>
    </row>
    <row r="41" spans="3:8" x14ac:dyDescent="0.3">
      <c r="D41" s="27"/>
      <c r="E41" s="27"/>
      <c r="F41" s="2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05C6-6467-4A82-9252-2718ACD56912}">
  <dimension ref="A1:H40"/>
  <sheetViews>
    <sheetView tabSelected="1" topLeftCell="B19" workbookViewId="0">
      <selection activeCell="E39" sqref="E39"/>
    </sheetView>
  </sheetViews>
  <sheetFormatPr defaultRowHeight="14.4" x14ac:dyDescent="0.3"/>
  <cols>
    <col min="1" max="1" width="12.5546875" bestFit="1" customWidth="1"/>
    <col min="2" max="2" width="6.88671875" bestFit="1" customWidth="1"/>
    <col min="3" max="3" width="14.6640625" style="1" bestFit="1" customWidth="1"/>
    <col min="4" max="4" width="10.6640625" bestFit="1" customWidth="1"/>
    <col min="5" max="6" width="15.5546875" bestFit="1" customWidth="1"/>
    <col min="7" max="7" width="15.21875" bestFit="1" customWidth="1"/>
    <col min="8" max="8" width="18.33203125" bestFit="1" customWidth="1"/>
  </cols>
  <sheetData>
    <row r="1" spans="1:8" ht="18" x14ac:dyDescent="0.6">
      <c r="A1" s="56"/>
      <c r="B1" s="56"/>
      <c r="C1" s="56" t="s">
        <v>29</v>
      </c>
      <c r="D1" s="56"/>
      <c r="E1" s="60"/>
      <c r="F1" s="60"/>
      <c r="G1" s="60"/>
      <c r="H1" s="60"/>
    </row>
    <row r="2" spans="1:8" ht="18" x14ac:dyDescent="0.6">
      <c r="A2" s="56" t="s">
        <v>2</v>
      </c>
      <c r="B2" s="56"/>
      <c r="C2" s="75">
        <v>0.05</v>
      </c>
      <c r="D2" s="56"/>
      <c r="E2" s="60"/>
      <c r="F2" s="60"/>
      <c r="G2" s="60"/>
      <c r="H2" s="60"/>
    </row>
    <row r="3" spans="1:8" ht="18" x14ac:dyDescent="0.6">
      <c r="A3" s="56"/>
      <c r="B3" s="56"/>
      <c r="C3" s="56" t="s">
        <v>5</v>
      </c>
      <c r="D3" s="56" t="s">
        <v>6</v>
      </c>
      <c r="E3" s="60"/>
      <c r="F3" s="60"/>
      <c r="G3" s="60"/>
      <c r="H3" s="60"/>
    </row>
    <row r="4" spans="1:8" ht="18" x14ac:dyDescent="0.6">
      <c r="A4" s="56" t="s">
        <v>7</v>
      </c>
      <c r="B4" s="56"/>
      <c r="C4" s="75">
        <v>1</v>
      </c>
      <c r="D4" s="75">
        <v>0.5</v>
      </c>
      <c r="E4" s="60"/>
      <c r="F4" s="60"/>
      <c r="G4" s="60"/>
      <c r="H4" s="60"/>
    </row>
    <row r="5" spans="1:8" ht="18" x14ac:dyDescent="0.6">
      <c r="A5" s="56" t="s">
        <v>8</v>
      </c>
      <c r="B5" s="56"/>
      <c r="C5" s="75">
        <v>0.9</v>
      </c>
      <c r="D5" s="75">
        <v>0.5</v>
      </c>
      <c r="E5" s="60"/>
      <c r="F5" s="60"/>
      <c r="G5" s="60"/>
      <c r="H5" s="60"/>
    </row>
    <row r="6" spans="1:8" x14ac:dyDescent="0.3">
      <c r="A6" s="61"/>
      <c r="B6" s="61"/>
      <c r="C6" s="62"/>
      <c r="D6" s="61"/>
      <c r="E6" s="61"/>
      <c r="F6" s="60"/>
      <c r="G6" s="60"/>
      <c r="H6" s="60"/>
    </row>
    <row r="7" spans="1:8" ht="18" x14ac:dyDescent="0.6">
      <c r="A7" s="54" t="s">
        <v>10</v>
      </c>
      <c r="B7" s="55" t="s">
        <v>11</v>
      </c>
      <c r="C7" s="63" t="s">
        <v>12</v>
      </c>
      <c r="D7" s="63" t="s">
        <v>13</v>
      </c>
      <c r="E7" s="64" t="s">
        <v>30</v>
      </c>
      <c r="F7" s="64" t="s">
        <v>33</v>
      </c>
      <c r="G7" s="64" t="s">
        <v>31</v>
      </c>
      <c r="H7" s="64" t="s">
        <v>32</v>
      </c>
    </row>
    <row r="8" spans="1:8" ht="18" x14ac:dyDescent="0.6">
      <c r="A8" s="56">
        <v>0</v>
      </c>
      <c r="B8" s="57">
        <v>2020</v>
      </c>
      <c r="C8" s="65">
        <v>0</v>
      </c>
      <c r="D8" s="65">
        <f>-7086780/1000</f>
        <v>-7086.78</v>
      </c>
      <c r="E8" s="65"/>
      <c r="F8" s="66"/>
      <c r="G8" s="66"/>
      <c r="H8" s="66"/>
    </row>
    <row r="9" spans="1:8" ht="18" x14ac:dyDescent="0.6">
      <c r="A9" s="56">
        <v>1</v>
      </c>
      <c r="B9" s="57">
        <v>2021</v>
      </c>
      <c r="C9" s="65">
        <v>0</v>
      </c>
      <c r="D9" s="65">
        <v>1299</v>
      </c>
      <c r="E9" s="65"/>
      <c r="F9" s="66"/>
      <c r="G9" s="66"/>
      <c r="H9" s="66"/>
    </row>
    <row r="10" spans="1:8" ht="18" x14ac:dyDescent="0.6">
      <c r="A10" s="56">
        <v>2</v>
      </c>
      <c r="B10" s="57">
        <v>2022</v>
      </c>
      <c r="C10" s="65">
        <v>0</v>
      </c>
      <c r="D10" s="65">
        <v>1308</v>
      </c>
      <c r="E10" s="65"/>
      <c r="F10" s="66"/>
      <c r="G10" s="66"/>
      <c r="H10" s="66"/>
    </row>
    <row r="11" spans="1:8" ht="18" x14ac:dyDescent="0.6">
      <c r="A11" s="56">
        <v>3</v>
      </c>
      <c r="B11" s="57">
        <v>2023</v>
      </c>
      <c r="C11" s="65">
        <v>0</v>
      </c>
      <c r="D11" s="65">
        <v>1316</v>
      </c>
      <c r="E11" s="65"/>
      <c r="F11" s="66"/>
      <c r="G11" s="66"/>
      <c r="H11" s="66"/>
    </row>
    <row r="12" spans="1:8" ht="18" x14ac:dyDescent="0.6">
      <c r="A12" s="56">
        <v>4</v>
      </c>
      <c r="B12" s="57">
        <v>2024</v>
      </c>
      <c r="C12" s="65">
        <v>0</v>
      </c>
      <c r="D12" s="65">
        <v>1325</v>
      </c>
      <c r="E12" s="65"/>
      <c r="F12" s="66"/>
      <c r="G12" s="66"/>
      <c r="H12" s="66"/>
    </row>
    <row r="13" spans="1:8" ht="18" x14ac:dyDescent="0.6">
      <c r="A13" s="56">
        <v>5</v>
      </c>
      <c r="B13" s="57">
        <v>2025</v>
      </c>
      <c r="C13" s="65">
        <v>0</v>
      </c>
      <c r="D13" s="67">
        <v>1333</v>
      </c>
      <c r="E13" s="65"/>
      <c r="F13" s="66"/>
      <c r="G13" s="66"/>
      <c r="H13" s="66"/>
    </row>
    <row r="14" spans="1:8" ht="18" x14ac:dyDescent="0.6">
      <c r="A14" s="56">
        <v>6</v>
      </c>
      <c r="B14" s="57">
        <v>2026</v>
      </c>
      <c r="C14" s="68">
        <v>0</v>
      </c>
      <c r="D14" s="65">
        <v>1342</v>
      </c>
      <c r="E14" s="65"/>
      <c r="F14" s="66"/>
      <c r="G14" s="66"/>
      <c r="H14" s="66"/>
    </row>
    <row r="15" spans="1:8" ht="18" x14ac:dyDescent="0.6">
      <c r="A15" s="56">
        <v>7</v>
      </c>
      <c r="B15" s="57">
        <v>2027</v>
      </c>
      <c r="C15" s="68">
        <v>0</v>
      </c>
      <c r="D15" s="65">
        <v>1350</v>
      </c>
      <c r="E15" s="65"/>
      <c r="F15" s="66"/>
      <c r="G15" s="66"/>
      <c r="H15" s="66"/>
    </row>
    <row r="16" spans="1:8" ht="18" x14ac:dyDescent="0.6">
      <c r="A16" s="56">
        <v>8</v>
      </c>
      <c r="B16" s="57">
        <v>2028</v>
      </c>
      <c r="C16" s="68">
        <v>0</v>
      </c>
      <c r="D16" s="65">
        <v>1358</v>
      </c>
      <c r="E16" s="65"/>
      <c r="F16" s="66"/>
      <c r="G16" s="66"/>
      <c r="H16" s="66"/>
    </row>
    <row r="17" spans="1:8" ht="18" x14ac:dyDescent="0.6">
      <c r="A17" s="56">
        <v>9</v>
      </c>
      <c r="B17" s="57">
        <v>2029</v>
      </c>
      <c r="C17" s="68">
        <v>0</v>
      </c>
      <c r="D17" s="65">
        <v>1367</v>
      </c>
      <c r="E17" s="65"/>
      <c r="F17" s="66"/>
      <c r="G17" s="66"/>
      <c r="H17" s="66"/>
    </row>
    <row r="18" spans="1:8" ht="18" x14ac:dyDescent="0.6">
      <c r="A18" s="56">
        <v>10</v>
      </c>
      <c r="B18" s="57">
        <v>2030</v>
      </c>
      <c r="C18" s="68">
        <v>0</v>
      </c>
      <c r="D18" s="65">
        <v>1369</v>
      </c>
      <c r="E18" s="65"/>
      <c r="F18" s="66"/>
      <c r="G18" s="66"/>
      <c r="H18" s="66"/>
    </row>
    <row r="19" spans="1:8" ht="18" x14ac:dyDescent="0.6">
      <c r="A19" s="56">
        <v>11</v>
      </c>
      <c r="B19" s="57">
        <v>2031</v>
      </c>
      <c r="C19" s="68">
        <v>0</v>
      </c>
      <c r="D19" s="72">
        <v>1346</v>
      </c>
      <c r="E19" s="65"/>
      <c r="F19" s="66"/>
      <c r="G19" s="66"/>
      <c r="H19" s="66"/>
    </row>
    <row r="20" spans="1:8" ht="18" x14ac:dyDescent="0.6">
      <c r="A20" s="56">
        <v>12</v>
      </c>
      <c r="B20" s="57">
        <v>2032</v>
      </c>
      <c r="C20" s="68">
        <v>0</v>
      </c>
      <c r="D20" s="72">
        <v>1322</v>
      </c>
      <c r="E20" s="65"/>
      <c r="F20" s="66"/>
      <c r="G20" s="66"/>
      <c r="H20" s="66"/>
    </row>
    <row r="21" spans="1:8" ht="18" x14ac:dyDescent="0.6">
      <c r="A21" s="56">
        <v>13</v>
      </c>
      <c r="B21" s="57">
        <v>2033</v>
      </c>
      <c r="C21" s="68">
        <v>0</v>
      </c>
      <c r="D21" s="72">
        <v>1298</v>
      </c>
      <c r="E21" s="65"/>
      <c r="F21" s="66"/>
      <c r="G21" s="66"/>
      <c r="H21" s="66"/>
    </row>
    <row r="22" spans="1:8" ht="18" x14ac:dyDescent="0.6">
      <c r="A22" s="56">
        <v>14</v>
      </c>
      <c r="B22" s="57">
        <v>2034</v>
      </c>
      <c r="C22" s="68">
        <v>0</v>
      </c>
      <c r="D22" s="72">
        <v>1273</v>
      </c>
      <c r="E22" s="65"/>
      <c r="F22" s="66"/>
      <c r="G22" s="66"/>
      <c r="H22" s="66"/>
    </row>
    <row r="23" spans="1:8" ht="18" x14ac:dyDescent="0.6">
      <c r="A23" s="56">
        <v>15</v>
      </c>
      <c r="B23" s="57">
        <v>2035</v>
      </c>
      <c r="C23" s="68">
        <v>0</v>
      </c>
      <c r="D23" s="72">
        <v>1247</v>
      </c>
      <c r="E23" s="76">
        <f>AVERAGE(D19:D23)</f>
        <v>1297.2</v>
      </c>
      <c r="F23" s="65">
        <f>E23*$D$5</f>
        <v>648.6</v>
      </c>
      <c r="G23" s="65">
        <f>F23*$C$5</f>
        <v>583.74</v>
      </c>
      <c r="H23" s="65">
        <f>F23*$C$4</f>
        <v>648.6</v>
      </c>
    </row>
    <row r="24" spans="1:8" ht="18" x14ac:dyDescent="0.6">
      <c r="A24" s="56">
        <v>16</v>
      </c>
      <c r="B24" s="57">
        <v>2036</v>
      </c>
      <c r="C24" s="68">
        <v>1</v>
      </c>
      <c r="D24" s="67">
        <v>1221</v>
      </c>
      <c r="E24" s="73">
        <f>$E$23/(1+$C$2)^C24</f>
        <v>1235.4285714285713</v>
      </c>
      <c r="F24" s="65">
        <f t="shared" ref="F24:F28" si="0">E24*$D$5</f>
        <v>617.71428571428567</v>
      </c>
      <c r="G24" s="65">
        <f t="shared" ref="G24:G28" si="1">F24*$C$5</f>
        <v>555.94285714285706</v>
      </c>
      <c r="H24" s="65">
        <f t="shared" ref="H24:H28" si="2">F24*$C$4</f>
        <v>617.71428571428567</v>
      </c>
    </row>
    <row r="25" spans="1:8" ht="18" x14ac:dyDescent="0.6">
      <c r="A25" s="56">
        <v>17</v>
      </c>
      <c r="B25" s="57">
        <v>2037</v>
      </c>
      <c r="C25" s="68">
        <v>2</v>
      </c>
      <c r="D25" s="67">
        <v>1195</v>
      </c>
      <c r="E25" s="73">
        <f>$E$23/(1+$C$2)^C25</f>
        <v>1176.5986394557824</v>
      </c>
      <c r="F25" s="65">
        <f t="shared" si="0"/>
        <v>588.2993197278912</v>
      </c>
      <c r="G25" s="65">
        <f t="shared" si="1"/>
        <v>529.46938775510205</v>
      </c>
      <c r="H25" s="65">
        <f t="shared" si="2"/>
        <v>588.2993197278912</v>
      </c>
    </row>
    <row r="26" spans="1:8" ht="18" x14ac:dyDescent="0.6">
      <c r="A26" s="56">
        <v>18</v>
      </c>
      <c r="B26" s="57">
        <v>2038</v>
      </c>
      <c r="C26" s="68">
        <v>3</v>
      </c>
      <c r="D26" s="67">
        <v>1168</v>
      </c>
      <c r="E26" s="73">
        <f t="shared" ref="E26:E28" si="3">$E$23/(1+$C$2)^C26</f>
        <v>1120.5701328150308</v>
      </c>
      <c r="F26" s="65">
        <f t="shared" si="0"/>
        <v>560.28506640751539</v>
      </c>
      <c r="G26" s="65">
        <f t="shared" si="1"/>
        <v>504.25655976676387</v>
      </c>
      <c r="H26" s="65">
        <f t="shared" si="2"/>
        <v>560.28506640751539</v>
      </c>
    </row>
    <row r="27" spans="1:8" ht="18" x14ac:dyDescent="0.6">
      <c r="A27" s="56">
        <v>19</v>
      </c>
      <c r="B27" s="57">
        <v>2039</v>
      </c>
      <c r="C27" s="68">
        <v>4</v>
      </c>
      <c r="D27" s="67">
        <v>1140</v>
      </c>
      <c r="E27" s="73">
        <f t="shared" si="3"/>
        <v>1067.2096503000294</v>
      </c>
      <c r="F27" s="65">
        <f t="shared" si="0"/>
        <v>533.60482515001468</v>
      </c>
      <c r="G27" s="65">
        <f t="shared" si="1"/>
        <v>480.2443426350132</v>
      </c>
      <c r="H27" s="65">
        <f t="shared" si="2"/>
        <v>533.60482515001468</v>
      </c>
    </row>
    <row r="28" spans="1:8" ht="18" x14ac:dyDescent="0.6">
      <c r="A28" s="58">
        <v>20</v>
      </c>
      <c r="B28" s="59">
        <v>2040</v>
      </c>
      <c r="C28" s="69">
        <v>5</v>
      </c>
      <c r="D28" s="70">
        <v>1111</v>
      </c>
      <c r="E28" s="74">
        <f t="shared" si="3"/>
        <v>1016.390143142885</v>
      </c>
      <c r="F28" s="71">
        <f t="shared" si="0"/>
        <v>508.1950715714425</v>
      </c>
      <c r="G28" s="71">
        <f t="shared" si="1"/>
        <v>457.37556441429825</v>
      </c>
      <c r="H28" s="71">
        <f t="shared" si="2"/>
        <v>508.1950715714425</v>
      </c>
    </row>
    <row r="29" spans="1:8" ht="18" x14ac:dyDescent="0.6">
      <c r="A29" s="56"/>
      <c r="B29" s="56"/>
      <c r="C29" s="65"/>
      <c r="D29" s="67">
        <f>SUM(D8:D28)</f>
        <v>18601.22</v>
      </c>
      <c r="E29" s="67">
        <f>SUM(E8:E28)</f>
        <v>6913.3971371422986</v>
      </c>
      <c r="F29" s="67">
        <f>SUM(F8:F28)</f>
        <v>3456.6985685711493</v>
      </c>
      <c r="G29" s="67">
        <f t="shared" ref="G29:H29" si="4">SUM(G8:G28)</f>
        <v>3111.0287117140347</v>
      </c>
      <c r="H29" s="67">
        <f t="shared" si="4"/>
        <v>3456.6985685711493</v>
      </c>
    </row>
    <row r="32" spans="1:8" x14ac:dyDescent="0.3">
      <c r="C32" s="36"/>
      <c r="D32" s="27"/>
      <c r="E32" s="27"/>
      <c r="F32" s="27"/>
      <c r="G32" s="27"/>
    </row>
    <row r="33" spans="3:8" x14ac:dyDescent="0.3">
      <c r="C33" s="36"/>
      <c r="D33" s="27"/>
      <c r="F33" s="14"/>
      <c r="G33" s="78" t="s">
        <v>34</v>
      </c>
      <c r="H33" s="78" t="s">
        <v>35</v>
      </c>
    </row>
    <row r="34" spans="3:8" x14ac:dyDescent="0.3">
      <c r="C34" s="36"/>
      <c r="D34" s="27"/>
      <c r="E34" s="15" t="s">
        <v>36</v>
      </c>
      <c r="F34" s="7"/>
      <c r="G34" s="82">
        <f>E23</f>
        <v>1297.2</v>
      </c>
      <c r="H34" s="82">
        <f>E23</f>
        <v>1297.2</v>
      </c>
    </row>
    <row r="35" spans="3:8" x14ac:dyDescent="0.3">
      <c r="C35" s="36"/>
      <c r="D35" s="27"/>
      <c r="E35" s="14" t="s">
        <v>37</v>
      </c>
      <c r="G35" s="28">
        <f>E29</f>
        <v>6913.3971371422986</v>
      </c>
      <c r="H35" s="2">
        <f>E29</f>
        <v>6913.3971371422986</v>
      </c>
    </row>
    <row r="36" spans="3:8" x14ac:dyDescent="0.3">
      <c r="C36" s="36"/>
      <c r="D36" s="31"/>
      <c r="E36" s="15" t="s">
        <v>38</v>
      </c>
      <c r="F36" s="15"/>
      <c r="G36" s="81">
        <v>0.5</v>
      </c>
      <c r="H36" s="81">
        <v>0.5</v>
      </c>
    </row>
    <row r="37" spans="3:8" x14ac:dyDescent="0.3">
      <c r="C37" s="36"/>
      <c r="D37" s="50"/>
      <c r="G37" s="28">
        <f>G35*G36</f>
        <v>3456.6985685711493</v>
      </c>
      <c r="H37" s="28">
        <f>H35*H36</f>
        <v>3456.6985685711493</v>
      </c>
    </row>
    <row r="38" spans="3:8" x14ac:dyDescent="0.3">
      <c r="C38" s="36"/>
      <c r="D38" s="31"/>
      <c r="E38" s="83" t="s">
        <v>39</v>
      </c>
      <c r="F38" s="7"/>
      <c r="G38" s="80">
        <v>0.1</v>
      </c>
      <c r="H38" s="80">
        <v>0</v>
      </c>
    </row>
    <row r="39" spans="3:8" ht="15" thickBot="1" x14ac:dyDescent="0.35">
      <c r="E39" s="84" t="s">
        <v>40</v>
      </c>
      <c r="F39" s="85"/>
      <c r="G39" s="86">
        <f>(G37*(1-G38))*1000</f>
        <v>3111028.7117140344</v>
      </c>
      <c r="H39" s="86">
        <f>(H37*(1-H38))*1000</f>
        <v>3456698.5685711494</v>
      </c>
    </row>
    <row r="40" spans="3:8" ht="15" thickTop="1" x14ac:dyDescent="0.3"/>
  </sheetData>
  <phoneticPr fontId="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Buyout Year 5</vt:lpstr>
      <vt:lpstr>Buyout Year 10</vt:lpstr>
      <vt:lpstr>Buyout Year 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</dc:creator>
  <cp:keywords/>
  <dc:description/>
  <cp:lastModifiedBy>Jason</cp:lastModifiedBy>
  <cp:revision/>
  <dcterms:created xsi:type="dcterms:W3CDTF">2019-12-03T18:55:03Z</dcterms:created>
  <dcterms:modified xsi:type="dcterms:W3CDTF">2020-04-23T14:08:52Z</dcterms:modified>
  <cp:category/>
  <cp:contentStatus/>
</cp:coreProperties>
</file>