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20490" windowHeight="6330"/>
  </bookViews>
  <sheets>
    <sheet name="Ground Floor" sheetId="1" r:id="rId1"/>
  </sheets>
  <definedNames>
    <definedName name="_xlnm.Print_Area" localSheetId="0">'Ground Floor'!$B$2:$L$93</definedName>
  </definedNames>
  <calcPr calcId="145621"/>
</workbook>
</file>

<file path=xl/calcChain.xml><?xml version="1.0" encoding="utf-8"?>
<calcChain xmlns="http://schemas.openxmlformats.org/spreadsheetml/2006/main">
  <c r="N21" i="1" l="1"/>
  <c r="H17" i="1"/>
  <c r="Q56" i="1"/>
  <c r="O56" i="1"/>
  <c r="N56" i="1"/>
  <c r="H44" i="1"/>
  <c r="H43" i="1"/>
  <c r="O43" i="1"/>
  <c r="K71" i="1" l="1"/>
  <c r="L71" i="1" s="1"/>
  <c r="K70" i="1"/>
  <c r="L70" i="1" s="1"/>
  <c r="K69" i="1"/>
  <c r="L69" i="1" s="1"/>
  <c r="K66" i="1"/>
  <c r="L66" i="1" s="1"/>
  <c r="K62" i="1"/>
  <c r="K61" i="1"/>
  <c r="L62" i="1"/>
  <c r="L61" i="1"/>
  <c r="K58" i="1"/>
  <c r="L58" i="1" s="1"/>
  <c r="K56" i="1"/>
  <c r="L56" i="1" s="1"/>
  <c r="K53" i="1"/>
  <c r="K54" i="1"/>
  <c r="L54" i="1" s="1"/>
  <c r="K52" i="1"/>
  <c r="L52" i="1" s="1"/>
  <c r="L53" i="1"/>
  <c r="K49" i="1"/>
  <c r="L49" i="1" s="1"/>
  <c r="K44" i="1"/>
  <c r="K43" i="1"/>
  <c r="L43" i="1" s="1"/>
  <c r="L44" i="1"/>
  <c r="K39" i="1"/>
  <c r="L39" i="1" s="1"/>
  <c r="K37" i="1"/>
  <c r="K36" i="1"/>
  <c r="L36" i="1" s="1"/>
  <c r="L37" i="1"/>
  <c r="K31" i="1"/>
  <c r="L31" i="1" s="1"/>
  <c r="H31" i="1"/>
  <c r="I31" i="1" s="1"/>
  <c r="K30" i="1"/>
  <c r="L30" i="1" s="1"/>
  <c r="K28" i="1"/>
  <c r="L28" i="1" s="1"/>
  <c r="K26" i="1"/>
  <c r="L26" i="1" s="1"/>
  <c r="K24" i="1"/>
  <c r="L24" i="1" s="1"/>
  <c r="K23" i="1"/>
  <c r="L23" i="1" s="1"/>
  <c r="K22" i="1"/>
  <c r="L22" i="1" s="1"/>
  <c r="K21" i="1"/>
  <c r="L21" i="1" s="1"/>
  <c r="K18" i="1"/>
  <c r="L18" i="1" s="1"/>
  <c r="K17" i="1"/>
  <c r="L17" i="1" s="1"/>
  <c r="H58" i="1"/>
  <c r="H26" i="1"/>
  <c r="I26" i="1" s="1"/>
  <c r="I30" i="1"/>
  <c r="I58" i="1"/>
  <c r="H71" i="1"/>
  <c r="I71" i="1" s="1"/>
  <c r="H70" i="1"/>
  <c r="I70" i="1" s="1"/>
  <c r="H69" i="1"/>
  <c r="I69" i="1" s="1"/>
  <c r="H37" i="1"/>
  <c r="I37" i="1" s="1"/>
  <c r="H36" i="1"/>
  <c r="I36" i="1" s="1"/>
  <c r="H30" i="1"/>
  <c r="H66" i="1" l="1"/>
  <c r="I66" i="1" s="1"/>
  <c r="H61" i="1"/>
  <c r="H62" i="1"/>
  <c r="I62" i="1" s="1"/>
  <c r="H54" i="1"/>
  <c r="I54" i="1" s="1"/>
  <c r="I43" i="1"/>
  <c r="I56" i="1"/>
  <c r="H53" i="1"/>
  <c r="I53" i="1" s="1"/>
  <c r="I44" i="1"/>
  <c r="H49" i="1"/>
  <c r="I49" i="1" s="1"/>
  <c r="H52" i="1"/>
  <c r="I52" i="1" s="1"/>
  <c r="H39" i="1"/>
  <c r="I39" i="1" s="1"/>
  <c r="H21" i="1"/>
  <c r="I21" i="1" s="1"/>
  <c r="H22" i="1"/>
  <c r="I22" i="1" s="1"/>
  <c r="I17" i="1"/>
  <c r="H23" i="1"/>
  <c r="I23" i="1" s="1"/>
  <c r="H18" i="1"/>
  <c r="I18" i="1" s="1"/>
  <c r="H24" i="1"/>
  <c r="I24" i="1" s="1"/>
  <c r="H28" i="1"/>
  <c r="I28" i="1" s="1"/>
  <c r="I75" i="1" l="1"/>
  <c r="L75" i="1"/>
  <c r="I77" i="1" s="1"/>
  <c r="I78" i="1" l="1"/>
</calcChain>
</file>

<file path=xl/sharedStrings.xml><?xml version="1.0" encoding="utf-8"?>
<sst xmlns="http://schemas.openxmlformats.org/spreadsheetml/2006/main" count="134" uniqueCount="97">
  <si>
    <t>SL NO</t>
  </si>
  <si>
    <t>DESCRIPTION OF WORK</t>
  </si>
  <si>
    <t>UNIT</t>
  </si>
  <si>
    <t>QTY</t>
  </si>
  <si>
    <t>1. Any Civil, Plumbing and Electrical work shall not be in our scope.</t>
  </si>
  <si>
    <t>4. Unloading,storage and security of material at customer site is not in our scope.</t>
  </si>
  <si>
    <t>5.Validity: This offer is valid for acceptance for 30 days only. Thereafter only against our written communication.</t>
  </si>
  <si>
    <t>6.Once the order is placed, it cannot be cancelled or modified at any stage for any reason, unless accepted by our authorised representative in writing</t>
  </si>
  <si>
    <t>8. All type of material / Equipment quoted are as per estimation / Drawing. In case of any change, it will be charged extra.</t>
  </si>
  <si>
    <t>9. Final quantity of all material will be considered as per approved drawing.</t>
  </si>
  <si>
    <t>10. If required, stay for our supervisor and team will be provided by the client.</t>
  </si>
  <si>
    <t>11. Jurisdiction: In case of any dispute, courts of Noida will have exclusive jurisdiction.</t>
  </si>
  <si>
    <t>12. The above quotation is subject to Force majeure conditions.</t>
  </si>
  <si>
    <t>13. If your project gets delayed due to reasons which do not attributes to our scope of work, there will be delay in our supply and installation of our scope of work accordingly.</t>
  </si>
  <si>
    <t>SUPPLY RATE</t>
  </si>
  <si>
    <t>SUPPLY AMOUNT</t>
  </si>
  <si>
    <t>INSTALLATION AMOUNT</t>
  </si>
  <si>
    <t>No</t>
  </si>
  <si>
    <t>FIRE DAMPERS</t>
  </si>
  <si>
    <t>AIR HANDLING UNIT</t>
  </si>
  <si>
    <t>GST ,FREIGHT EXTRA</t>
  </si>
  <si>
    <t>FACTOR</t>
  </si>
  <si>
    <t>TOTAL SUPPLY</t>
  </si>
  <si>
    <t>PACKING @ 2%</t>
  </si>
  <si>
    <t>GRAND TOTAL</t>
  </si>
  <si>
    <t>UNIT SUPPLY RATE</t>
  </si>
  <si>
    <t>UNIT INSTALLATION RATE</t>
  </si>
  <si>
    <t>ZEP INFRATECH LIMITED</t>
  </si>
  <si>
    <t>Customer Name and Address:</t>
  </si>
  <si>
    <t>(Formerly Zeppelin Mobile System India Ltd)</t>
  </si>
  <si>
    <t>An ISO 9001 : 2008 Certified Company</t>
  </si>
  <si>
    <t>B-193 A, Ph-2 Noida-201305, U.P.</t>
  </si>
  <si>
    <t>Visit us at:   www.zepinfratech.com</t>
  </si>
  <si>
    <t>TOTAL INSTALLATION</t>
  </si>
  <si>
    <t>2.Payment Terms:- Supply:- 50% advance, balance against performa invoice prior to dispatch.Installation:- 50% Advance ,50% Against Running Bills on Prorata  Basis</t>
  </si>
  <si>
    <t>7.Taxes and duties as applicable on date of delivery will apply irrespective of when the order is placed or payment made.</t>
  </si>
  <si>
    <t>14.Ducting/VCD/Cableing/FD /Cable tray/VRV Qty on  tentaive basis  .Actual Qty will be work out after order finalization &amp; drawing finalization .Qty may increase or decraese as per approved layout /scheme</t>
  </si>
  <si>
    <t>HVAC OFFER FOR CLEAN ROOM</t>
  </si>
  <si>
    <t>3.Supply- 12-13 weeks from the date of confirmed order, approved drawings and with advance.</t>
  </si>
  <si>
    <r>
      <t>Ref and Date: ZIL/20-21/HR/1/NT-003</t>
    </r>
    <r>
      <rPr>
        <b/>
        <sz val="16"/>
        <color rgb="FFFF0000"/>
        <rFont val="Calibri"/>
        <family val="2"/>
        <scheme val="minor"/>
      </rPr>
      <t xml:space="preserve"> </t>
    </r>
    <r>
      <rPr>
        <b/>
        <sz val="16"/>
        <rFont val="Calibri"/>
        <family val="2"/>
        <scheme val="minor"/>
      </rPr>
      <t>DATE:- 19/09/2020     R1</t>
    </r>
  </si>
  <si>
    <t xml:space="preserve">Supply /Installation/  Testing /  Commissioning of  Double skin
AHU complete with thermal break profile, Mixing Chamber section, Fan section, Coil section, Filter sections, Return air Plenum with Aluminum Volume control damper for return air and motorized Aluminum Volume control damper with actuator for fresh air with double HDPE insect mesh -pre filter
,fine filter
</t>
  </si>
  <si>
    <t>AHU•01 1000 CFM, Static Pressure•125mmwg. (change room)</t>
  </si>
  <si>
    <t>AHU-02,5100 CFM, Static Pressure-125mmwg. Moulding area</t>
  </si>
  <si>
    <t>Supply /Installation/ Testing / Commissioning out door unit with dx system</t>
  </si>
  <si>
    <t>11 TR -VOLTAS MAKE</t>
  </si>
  <si>
    <t>3 TR -VOLTAS MAKE</t>
  </si>
  <si>
    <t>Supply for isolation valve</t>
  </si>
  <si>
    <t>d)</t>
  </si>
  <si>
    <t>Supply for drier</t>
  </si>
  <si>
    <t>Supply /Installation/ Testing / Commissioning gas charging R- 22 for ductable unit</t>
  </si>
  <si>
    <t>Providing &amp; fixing rigid PVC piping complete with fittings, supports as per specifications and pre insulated with 6mm thick closed cell elastomeric nitrile rubber tubular insulation.</t>
  </si>
  <si>
    <t>50 mm dia</t>
  </si>
  <si>
    <t>DUCTS AND INSULATION</t>
  </si>
  <si>
    <t>Supply, Installation &amp; Testing of sheet metal Ducting as per SMACNA , complete with M.S Angle supports, vanes, splitters, gaskets for joints etc. GI Sheet Metal Ducting (Rectangular) made on lock forming machine. And flanges shall be made out of MS angle black painted, GI nuts and bolts and with proper duct sealing etc with RTV food grade sealant filled at joints and pressure tested etc as per SMACNA and specifications.</t>
  </si>
  <si>
    <t>a)</t>
  </si>
  <si>
    <t>24 SWG (Actual on measurement basis)</t>
  </si>
  <si>
    <t>b)</t>
  </si>
  <si>
    <t>22 SWG (Actual on measurement basis)</t>
  </si>
  <si>
    <t>Supply, Installation of M.S Chanel / Angle frame for ducting/DX Units with one coat primer &amp; paint.</t>
  </si>
  <si>
    <t>13 mm thick (Actual on measurement Basis)</t>
  </si>
  <si>
    <t>9 mm thick (Actual on measurement Basis)</t>
  </si>
  <si>
    <t>Supply, Installation of Extruded GI Volume Controlled Damper</t>
  </si>
  <si>
    <t>CANVASS CONNECTION</t>
  </si>
  <si>
    <t>Supply,Installation,Testing and commissioning of doble layer canvas connection with 1/2 hr. fire rating as per specification.</t>
  </si>
  <si>
    <t>Actuator assembly</t>
  </si>
  <si>
    <t>Limit switches for above dampers</t>
  </si>
  <si>
    <t>SITC of Volume controle damper GI</t>
  </si>
  <si>
    <t>HEPA FILTER</t>
  </si>
  <si>
    <t>Overall size of 610 x 610 x 375 mm (with 1000 CFM filters)</t>
  </si>
  <si>
    <t>Overall size of 610 x 610 x 375 mm (with 500 CFM filters)</t>
  </si>
  <si>
    <t>ELECTRICAL PANELS FOR AHU'S.</t>
  </si>
  <si>
    <t>Electrical Panel for AHU -1</t>
  </si>
  <si>
    <t>ELECTRICAL WIRING</t>
  </si>
  <si>
    <t>6sq mm 4 core wire for AHU wiring (Flexible Copper)</t>
  </si>
  <si>
    <t>10sq.mmx4 Core</t>
  </si>
  <si>
    <t>1.5sq.mmx3 Core</t>
  </si>
  <si>
    <t>ZECO</t>
  </si>
  <si>
    <t>Supply /Installation/ Testing / Commissioning Copper piping  for ductable unit and out door unit</t>
  </si>
  <si>
    <t>RMT</t>
  </si>
  <si>
    <t>Supply /Installation/ Testing / Commissioning Cable tray 300 mm for ductable unit</t>
  </si>
  <si>
    <t>KG</t>
  </si>
  <si>
    <t>SQM</t>
  </si>
  <si>
    <t>Supply and installation of XLPE Thermal insulation with aluminium foil on ducts as per the approved specifications. Quoted price shall be inclusive of adhesive, tapes as per specification.</t>
  </si>
  <si>
    <t>NOS</t>
  </si>
  <si>
    <t>SITC Galvanised sheet fire dampers complete with damper electric actuator, smoke/ heat detector, interlocking arrangement with blower motor.</t>
  </si>
  <si>
    <t>SETS</t>
  </si>
  <si>
    <t>SITC of Aluiminium extruded Perforated return / Supplyair grilles</t>
  </si>
  <si>
    <t>Supply and Installation HEPA holder Housing with Filters EU - 13</t>
  </si>
  <si>
    <t>Supply, Installation,Testing &amp; Commissioning of floor mounted local AHU panel in 16 gauge CRCA powder coated construction suitable to for fan motor. The panel shall also accomodate power for Motors, heaters</t>
  </si>
  <si>
    <t>c)</t>
  </si>
  <si>
    <t>NAME:</t>
  </si>
  <si>
    <t xml:space="preserve">COMPANY: </t>
  </si>
  <si>
    <t>CONTACT NO.</t>
  </si>
  <si>
    <t>EMAIL:</t>
  </si>
  <si>
    <t xml:space="preserve">PROJECT : </t>
  </si>
  <si>
    <t>Note</t>
  </si>
  <si>
    <t>Expansion Valve required but it was missing in BOQ</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</si>
</sst>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_(* #,##0.00_);_(* \(#,##0.00\);_(* \-??_);_(@_)"/>
    <numFmt numFmtId="166" formatCode="##\ ##\ ##\ ###"/>
    <numFmt numFmtId="167" formatCode="0.0"/>
  </numFmts>
  <fonts count="40">
    <font>
      <sz val="11"/>
      <color theme="1"/>
      <name val="Calibri"/>
      <family val="2"/>
      <scheme val="minor"/>
    </font>
    <font>
      <sz val="10"/>
      <name val="Arial"/>
      <family val="2"/>
      <charset val="204"/>
    </font>
    <font>
      <sz val="11"/>
      <color indexed="8"/>
      <name val="Calibri"/>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Helv"/>
      <charset val="204"/>
    </font>
    <font>
      <sz val="11"/>
      <color indexed="8"/>
      <name val="Arial"/>
      <family val="2"/>
    </font>
    <font>
      <sz val="10"/>
      <color indexed="8"/>
      <name val="Mangal"/>
      <family val="1"/>
    </font>
    <font>
      <sz val="11"/>
      <color indexed="8"/>
      <name val="Calibri"/>
      <family val="2"/>
      <charset val="1"/>
    </font>
    <font>
      <sz val="11"/>
      <color indexed="8"/>
      <name val="Calibri1"/>
    </font>
    <font>
      <sz val="10"/>
      <color indexed="8"/>
      <name val="Mangal"/>
      <family val="1"/>
      <charset val="1"/>
    </font>
    <font>
      <b/>
      <sz val="12"/>
      <name val="Calibri"/>
      <family val="2"/>
      <scheme val="minor"/>
    </font>
    <font>
      <sz val="12"/>
      <name val="Calibri"/>
      <family val="2"/>
      <scheme val="minor"/>
    </font>
    <font>
      <sz val="12"/>
      <name val="Cambria"/>
      <family val="1"/>
      <scheme val="major"/>
    </font>
    <font>
      <b/>
      <sz val="12"/>
      <name val="Cambria"/>
      <family val="1"/>
      <scheme val="major"/>
    </font>
    <font>
      <sz val="16"/>
      <name val="Cambria"/>
      <family val="1"/>
      <scheme val="major"/>
    </font>
    <font>
      <b/>
      <sz val="16"/>
      <color theme="1"/>
      <name val="Cambria"/>
      <family val="1"/>
      <scheme val="major"/>
    </font>
    <font>
      <sz val="16"/>
      <color theme="1"/>
      <name val="Cambria"/>
      <family val="1"/>
      <scheme val="major"/>
    </font>
    <font>
      <b/>
      <sz val="16"/>
      <name val="Cambria"/>
      <family val="1"/>
      <scheme val="major"/>
    </font>
    <font>
      <sz val="16"/>
      <color indexed="8"/>
      <name val="Cambria"/>
      <family val="1"/>
      <scheme val="major"/>
    </font>
    <font>
      <b/>
      <sz val="16"/>
      <name val="Calibri"/>
      <family val="2"/>
      <scheme val="minor"/>
    </font>
    <font>
      <b/>
      <sz val="24"/>
      <name val="Calibri"/>
      <family val="2"/>
      <scheme val="minor"/>
    </font>
    <font>
      <b/>
      <sz val="18"/>
      <name val="Calibri"/>
      <family val="2"/>
      <scheme val="minor"/>
    </font>
    <font>
      <sz val="18"/>
      <name val="Calibri"/>
      <family val="2"/>
      <scheme val="minor"/>
    </font>
    <font>
      <b/>
      <sz val="16"/>
      <color rgb="FFFF0000"/>
      <name val="Calibri"/>
      <family val="2"/>
      <scheme val="minor"/>
    </font>
  </fonts>
  <fills count="51">
    <fill>
      <patternFill patternType="none"/>
    </fill>
    <fill>
      <patternFill patternType="gray125"/>
    </fill>
    <fill>
      <patternFill patternType="solid">
        <fgColor indexed="31"/>
        <bgColor indexed="22"/>
      </patternFill>
    </fill>
    <fill>
      <patternFill patternType="solid">
        <fgColor indexed="31"/>
      </patternFill>
    </fill>
    <fill>
      <patternFill patternType="solid">
        <fgColor indexed="45"/>
        <bgColor indexed="29"/>
      </patternFill>
    </fill>
    <fill>
      <patternFill patternType="solid">
        <fgColor indexed="45"/>
      </patternFill>
    </fill>
    <fill>
      <patternFill patternType="solid">
        <fgColor indexed="42"/>
        <bgColor indexed="27"/>
      </patternFill>
    </fill>
    <fill>
      <patternFill patternType="solid">
        <fgColor indexed="42"/>
      </patternFill>
    </fill>
    <fill>
      <patternFill patternType="solid">
        <fgColor indexed="46"/>
        <bgColor indexed="24"/>
      </patternFill>
    </fill>
    <fill>
      <patternFill patternType="solid">
        <fgColor indexed="46"/>
      </patternFill>
    </fill>
    <fill>
      <patternFill patternType="solid">
        <fgColor indexed="27"/>
        <bgColor indexed="41"/>
      </patternFill>
    </fill>
    <fill>
      <patternFill patternType="solid">
        <fgColor indexed="27"/>
      </patternFill>
    </fill>
    <fill>
      <patternFill patternType="solid">
        <fgColor indexed="47"/>
        <bgColor indexed="22"/>
      </patternFill>
    </fill>
    <fill>
      <patternFill patternType="solid">
        <fgColor indexed="47"/>
      </patternFill>
    </fill>
    <fill>
      <patternFill patternType="solid">
        <fgColor indexed="44"/>
        <bgColor indexed="31"/>
      </patternFill>
    </fill>
    <fill>
      <patternFill patternType="solid">
        <fgColor indexed="44"/>
      </patternFill>
    </fill>
    <fill>
      <patternFill patternType="solid">
        <fgColor indexed="29"/>
        <bgColor indexed="45"/>
      </patternFill>
    </fill>
    <fill>
      <patternFill patternType="solid">
        <fgColor indexed="29"/>
      </patternFill>
    </fill>
    <fill>
      <patternFill patternType="solid">
        <fgColor indexed="11"/>
        <bgColor indexed="49"/>
      </patternFill>
    </fill>
    <fill>
      <patternFill patternType="solid">
        <fgColor indexed="11"/>
      </patternFill>
    </fill>
    <fill>
      <patternFill patternType="solid">
        <fgColor indexed="51"/>
        <bgColor indexed="13"/>
      </patternFill>
    </fill>
    <fill>
      <patternFill patternType="solid">
        <fgColor indexed="51"/>
      </patternFill>
    </fill>
    <fill>
      <patternFill patternType="solid">
        <fgColor indexed="30"/>
        <bgColor indexed="21"/>
      </patternFill>
    </fill>
    <fill>
      <patternFill patternType="solid">
        <fgColor indexed="30"/>
      </patternFill>
    </fill>
    <fill>
      <patternFill patternType="solid">
        <fgColor indexed="20"/>
        <bgColor indexed="36"/>
      </patternFill>
    </fill>
    <fill>
      <patternFill patternType="solid">
        <fgColor indexed="36"/>
      </patternFill>
    </fill>
    <fill>
      <patternFill patternType="solid">
        <fgColor indexed="49"/>
        <bgColor indexed="40"/>
      </patternFill>
    </fill>
    <fill>
      <patternFill patternType="solid">
        <fgColor indexed="49"/>
      </patternFill>
    </fill>
    <fill>
      <patternFill patternType="solid">
        <fgColor indexed="52"/>
        <bgColor indexed="51"/>
      </patternFill>
    </fill>
    <fill>
      <patternFill patternType="solid">
        <fgColor indexed="52"/>
      </patternFill>
    </fill>
    <fill>
      <patternFill patternType="solid">
        <fgColor indexed="62"/>
        <bgColor indexed="56"/>
      </patternFill>
    </fill>
    <fill>
      <patternFill patternType="solid">
        <fgColor indexed="62"/>
      </patternFill>
    </fill>
    <fill>
      <patternFill patternType="solid">
        <fgColor indexed="10"/>
        <bgColor indexed="60"/>
      </patternFill>
    </fill>
    <fill>
      <patternFill patternType="solid">
        <fgColor indexed="10"/>
      </patternFill>
    </fill>
    <fill>
      <patternFill patternType="solid">
        <fgColor indexed="57"/>
        <bgColor indexed="21"/>
      </patternFill>
    </fill>
    <fill>
      <patternFill patternType="solid">
        <fgColor indexed="57"/>
      </patternFill>
    </fill>
    <fill>
      <patternFill patternType="solid">
        <fgColor indexed="53"/>
        <bgColor indexed="52"/>
      </patternFill>
    </fill>
    <fill>
      <patternFill patternType="solid">
        <fgColor indexed="53"/>
      </patternFill>
    </fill>
    <fill>
      <patternFill patternType="solid">
        <fgColor indexed="22"/>
        <bgColor indexed="31"/>
      </patternFill>
    </fill>
    <fill>
      <patternFill patternType="solid">
        <fgColor indexed="22"/>
      </patternFill>
    </fill>
    <fill>
      <patternFill patternType="solid">
        <fgColor indexed="55"/>
        <bgColor indexed="23"/>
      </patternFill>
    </fill>
    <fill>
      <patternFill patternType="solid">
        <fgColor indexed="55"/>
      </patternFill>
    </fill>
    <fill>
      <patternFill patternType="solid">
        <fgColor indexed="43"/>
        <bgColor indexed="26"/>
      </patternFill>
    </fill>
    <fill>
      <patternFill patternType="solid">
        <fgColor indexed="43"/>
      </patternFill>
    </fill>
    <fill>
      <patternFill patternType="solid">
        <fgColor indexed="26"/>
        <bgColor indexed="9"/>
      </patternFill>
    </fill>
    <fill>
      <patternFill patternType="solid">
        <fgColor indexed="26"/>
      </patternFill>
    </fill>
    <fill>
      <patternFill patternType="solid">
        <fgColor theme="3" tint="0.79998168889431442"/>
        <bgColor indexed="64"/>
      </patternFill>
    </fill>
    <fill>
      <patternFill patternType="solid">
        <fgColor theme="0"/>
        <bgColor indexed="64"/>
      </patternFill>
    </fill>
    <fill>
      <patternFill patternType="solid">
        <fgColor theme="3" tint="0.79998168889431442"/>
        <bgColor indexed="34"/>
      </patternFill>
    </fill>
    <fill>
      <patternFill patternType="solid">
        <fgColor rgb="FFFFFF00"/>
        <bgColor indexed="64"/>
      </patternFill>
    </fill>
    <fill>
      <patternFill patternType="solid">
        <fgColor rgb="FF92D050"/>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s>
  <cellStyleXfs count="97">
    <xf numFmtId="0" fontId="0" fillId="0" borderId="0"/>
    <xf numFmtId="0" fontId="1"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38" borderId="1" applyNumberFormat="0" applyAlignment="0" applyProtection="0"/>
    <xf numFmtId="0" fontId="6" fillId="39" borderId="1" applyNumberFormat="0" applyAlignment="0" applyProtection="0"/>
    <xf numFmtId="0" fontId="7" fillId="40" borderId="2" applyNumberFormat="0" applyAlignment="0" applyProtection="0"/>
    <xf numFmtId="0" fontId="7" fillId="41" borderId="2" applyNumberFormat="0" applyAlignment="0" applyProtection="0"/>
    <xf numFmtId="165" fontId="1" fillId="0" borderId="0" applyFill="0" applyBorder="0" applyAlignment="0" applyProtection="0"/>
    <xf numFmtId="165" fontId="1" fillId="0" borderId="0" applyFill="0" applyBorder="0" applyAlignment="0" applyProtection="0"/>
    <xf numFmtId="164" fontId="3" fillId="0" borderId="0" applyFont="0" applyFill="0" applyBorder="0" applyAlignment="0" applyProtection="0"/>
    <xf numFmtId="0" fontId="8" fillId="0" borderId="0" applyNumberFormat="0" applyFill="0" applyBorder="0" applyAlignment="0" applyProtection="0"/>
    <xf numFmtId="0" fontId="9" fillId="6" borderId="0" applyNumberFormat="0" applyBorder="0" applyAlignment="0" applyProtection="0"/>
    <xf numFmtId="0" fontId="9" fillId="7"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12" borderId="1" applyNumberFormat="0" applyAlignment="0" applyProtection="0"/>
    <xf numFmtId="0" fontId="13" fillId="13" borderId="1" applyNumberFormat="0" applyAlignment="0" applyProtection="0"/>
    <xf numFmtId="0" fontId="14" fillId="0" borderId="6" applyNumberFormat="0" applyFill="0" applyAlignment="0" applyProtection="0"/>
    <xf numFmtId="0" fontId="15" fillId="42" borderId="0" applyNumberFormat="0" applyBorder="0" applyAlignment="0" applyProtection="0"/>
    <xf numFmtId="0" fontId="15" fillId="43" borderId="0" applyNumberFormat="0" applyBorder="0" applyAlignment="0" applyProtection="0"/>
    <xf numFmtId="0" fontId="3" fillId="0" borderId="0"/>
    <xf numFmtId="0" fontId="1" fillId="44" borderId="7" applyNumberFormat="0" applyAlignment="0" applyProtection="0"/>
    <xf numFmtId="0" fontId="2" fillId="45" borderId="7" applyNumberFormat="0" applyFont="0" applyAlignment="0" applyProtection="0"/>
    <xf numFmtId="0" fontId="16" fillId="38" borderId="8" applyNumberFormat="0" applyAlignment="0" applyProtection="0"/>
    <xf numFmtId="0" fontId="16" fillId="39" borderId="8" applyNumberFormat="0" applyAlignment="0" applyProtection="0"/>
    <xf numFmtId="9" fontId="3" fillId="0" borderId="0" applyFont="0" applyFill="0" applyBorder="0" applyAlignment="0" applyProtection="0"/>
    <xf numFmtId="0" fontId="1" fillId="0" borderId="0"/>
    <xf numFmtId="0" fontId="20" fillId="0" borderId="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1" fillId="0" borderId="0"/>
    <xf numFmtId="0" fontId="22" fillId="0" borderId="0" applyBorder="0" applyProtection="0"/>
    <xf numFmtId="0" fontId="25" fillId="0" borderId="0" applyBorder="0" applyProtection="0"/>
    <xf numFmtId="0" fontId="2" fillId="0" borderId="0"/>
    <xf numFmtId="0" fontId="24" fillId="0" borderId="0" applyBorder="0" applyProtection="0"/>
    <xf numFmtId="0" fontId="23" fillId="0" borderId="0" applyBorder="0" applyProtection="0"/>
    <xf numFmtId="164" fontId="21"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74">
    <xf numFmtId="0" fontId="0" fillId="0" borderId="0" xfId="0"/>
    <xf numFmtId="0" fontId="27" fillId="0" borderId="0" xfId="0" applyFont="1" applyAlignment="1">
      <alignment wrapText="1"/>
    </xf>
    <xf numFmtId="0" fontId="27" fillId="46" borderId="10" xfId="0" applyFont="1" applyFill="1" applyBorder="1" applyAlignment="1">
      <alignment wrapText="1"/>
    </xf>
    <xf numFmtId="0" fontId="30" fillId="0" borderId="16" xfId="1" applyFont="1" applyFill="1" applyBorder="1" applyAlignment="1">
      <alignment horizontal="center" vertical="center" wrapText="1"/>
    </xf>
    <xf numFmtId="0" fontId="31" fillId="0" borderId="10" xfId="0" applyFont="1" applyBorder="1" applyAlignment="1">
      <alignment vertical="center"/>
    </xf>
    <xf numFmtId="0" fontId="30" fillId="0" borderId="10" xfId="1" applyFont="1" applyFill="1" applyBorder="1" applyAlignment="1">
      <alignment horizontal="center" vertical="center" wrapText="1"/>
    </xf>
    <xf numFmtId="0" fontId="30" fillId="0" borderId="16" xfId="57" applyNumberFormat="1" applyFont="1" applyFill="1" applyBorder="1" applyAlignment="1" applyProtection="1">
      <alignment horizontal="center" vertical="center" wrapText="1"/>
    </xf>
    <xf numFmtId="1" fontId="30" fillId="0" borderId="10" xfId="0" applyNumberFormat="1" applyFont="1" applyFill="1" applyBorder="1" applyAlignment="1">
      <alignment horizontal="center" vertical="center"/>
    </xf>
    <xf numFmtId="167" fontId="30" fillId="0" borderId="10" xfId="71" applyNumberFormat="1" applyFont="1" applyFill="1" applyBorder="1" applyAlignment="1" applyProtection="1">
      <alignment horizontal="center" vertical="center" wrapText="1"/>
    </xf>
    <xf numFmtId="0" fontId="30" fillId="0" borderId="10" xfId="71" applyFont="1" applyFill="1" applyBorder="1" applyAlignment="1" applyProtection="1">
      <alignment horizontal="center" vertical="center" wrapText="1"/>
    </xf>
    <xf numFmtId="0" fontId="34" fillId="0" borderId="16" xfId="0" quotePrefix="1" applyFont="1" applyBorder="1" applyAlignment="1" applyProtection="1">
      <alignment horizontal="center" vertical="center"/>
    </xf>
    <xf numFmtId="0" fontId="34" fillId="0" borderId="16" xfId="0" quotePrefix="1" applyFont="1" applyFill="1" applyBorder="1" applyAlignment="1" applyProtection="1">
      <alignment horizontal="center" vertical="center"/>
    </xf>
    <xf numFmtId="167" fontId="30" fillId="47" borderId="10" xfId="71" applyNumberFormat="1" applyFont="1" applyFill="1" applyBorder="1" applyAlignment="1" applyProtection="1">
      <alignment horizontal="center" vertical="center" wrapText="1"/>
    </xf>
    <xf numFmtId="0" fontId="30" fillId="0" borderId="17" xfId="0" applyFont="1" applyFill="1" applyBorder="1" applyAlignment="1">
      <alignment wrapText="1"/>
    </xf>
    <xf numFmtId="1" fontId="30" fillId="0" borderId="10" xfId="89" applyNumberFormat="1" applyFont="1" applyFill="1" applyBorder="1" applyAlignment="1">
      <alignment horizontal="center" vertical="center" wrapText="1"/>
    </xf>
    <xf numFmtId="0" fontId="30" fillId="46" borderId="10" xfId="0" applyFont="1" applyFill="1" applyBorder="1" applyAlignment="1">
      <alignment wrapText="1"/>
    </xf>
    <xf numFmtId="0" fontId="30" fillId="46" borderId="10" xfId="0" applyFont="1" applyFill="1" applyBorder="1" applyAlignment="1">
      <alignment horizontal="center" vertical="center" wrapText="1"/>
    </xf>
    <xf numFmtId="0" fontId="30" fillId="46" borderId="10" xfId="0" applyFont="1" applyFill="1" applyBorder="1" applyAlignment="1">
      <alignment horizontal="left" vertical="center" wrapText="1"/>
    </xf>
    <xf numFmtId="1" fontId="30" fillId="46" borderId="10" xfId="0" applyNumberFormat="1" applyFont="1" applyFill="1" applyBorder="1" applyAlignment="1">
      <alignment horizontal="center" vertical="center" wrapText="1"/>
    </xf>
    <xf numFmtId="0" fontId="30" fillId="0" borderId="11" xfId="0" applyFont="1" applyFill="1" applyBorder="1" applyAlignment="1">
      <alignment wrapText="1"/>
    </xf>
    <xf numFmtId="2" fontId="30" fillId="47" borderId="10" xfId="71" applyNumberFormat="1" applyFont="1" applyFill="1" applyBorder="1" applyAlignment="1" applyProtection="1">
      <alignment horizontal="center" vertical="center" wrapText="1"/>
    </xf>
    <xf numFmtId="0" fontId="27" fillId="0" borderId="10" xfId="0" applyFont="1" applyBorder="1" applyAlignment="1">
      <alignment wrapText="1"/>
    </xf>
    <xf numFmtId="0" fontId="29" fillId="0" borderId="10" xfId="0" applyFont="1" applyBorder="1" applyAlignment="1">
      <alignment horizontal="left" wrapText="1"/>
    </xf>
    <xf numFmtId="0" fontId="26" fillId="0" borderId="10" xfId="0" applyFont="1" applyBorder="1" applyAlignment="1">
      <alignment horizontal="left" wrapText="1"/>
    </xf>
    <xf numFmtId="0" fontId="30" fillId="46" borderId="16" xfId="1" applyFont="1" applyFill="1" applyBorder="1" applyAlignment="1">
      <alignment horizontal="center" vertical="center" wrapText="1"/>
    </xf>
    <xf numFmtId="0" fontId="30" fillId="46" borderId="10" xfId="1" applyFont="1" applyFill="1" applyBorder="1" applyAlignment="1">
      <alignment horizontal="center" vertical="center" wrapText="1"/>
    </xf>
    <xf numFmtId="166" fontId="30" fillId="46" borderId="10" xfId="1" applyNumberFormat="1" applyFont="1" applyFill="1" applyBorder="1" applyAlignment="1">
      <alignment horizontal="center" vertical="center" wrapText="1"/>
    </xf>
    <xf numFmtId="0" fontId="30" fillId="46" borderId="17" xfId="0" applyFont="1" applyFill="1" applyBorder="1" applyAlignment="1">
      <alignment horizontal="center" vertical="center" wrapText="1"/>
    </xf>
    <xf numFmtId="0" fontId="32" fillId="46" borderId="10" xfId="0" applyFont="1" applyFill="1" applyBorder="1" applyAlignment="1">
      <alignment horizontal="left" vertical="center" wrapText="1"/>
    </xf>
    <xf numFmtId="0" fontId="32" fillId="46" borderId="10" xfId="0" applyFont="1" applyFill="1" applyBorder="1" applyAlignment="1">
      <alignment horizontal="center" vertical="center" wrapText="1"/>
    </xf>
    <xf numFmtId="167" fontId="30" fillId="46" borderId="10" xfId="71" applyNumberFormat="1" applyFont="1" applyFill="1" applyBorder="1" applyAlignment="1" applyProtection="1">
      <alignment horizontal="center" vertical="center" wrapText="1"/>
    </xf>
    <xf numFmtId="2" fontId="30" fillId="46" borderId="10" xfId="71" applyNumberFormat="1" applyFont="1" applyFill="1" applyBorder="1" applyAlignment="1" applyProtection="1">
      <alignment horizontal="center" vertical="center" wrapText="1"/>
    </xf>
    <xf numFmtId="1" fontId="30" fillId="46" borderId="10" xfId="89" applyNumberFormat="1" applyFont="1" applyFill="1" applyBorder="1" applyAlignment="1">
      <alignment horizontal="center" vertical="center" wrapText="1"/>
    </xf>
    <xf numFmtId="0" fontId="29" fillId="0" borderId="19" xfId="0" applyFont="1" applyBorder="1" applyAlignment="1">
      <alignment horizontal="left" wrapText="1"/>
    </xf>
    <xf numFmtId="0" fontId="34" fillId="46" borderId="16" xfId="0" quotePrefix="1" applyFont="1" applyFill="1" applyBorder="1" applyAlignment="1" applyProtection="1">
      <alignment horizontal="center" vertical="center"/>
    </xf>
    <xf numFmtId="1" fontId="30" fillId="46" borderId="17" xfId="89" applyNumberFormat="1" applyFont="1" applyFill="1" applyBorder="1" applyAlignment="1">
      <alignment horizontal="center" vertical="center" wrapText="1"/>
    </xf>
    <xf numFmtId="0" fontId="30" fillId="46" borderId="16" xfId="0" applyFont="1" applyFill="1" applyBorder="1" applyAlignment="1">
      <alignment wrapText="1"/>
    </xf>
    <xf numFmtId="1" fontId="30" fillId="46" borderId="17" xfId="0" applyNumberFormat="1" applyFont="1" applyFill="1" applyBorder="1" applyAlignment="1">
      <alignment horizontal="center" vertical="center" wrapText="1"/>
    </xf>
    <xf numFmtId="0" fontId="28" fillId="46" borderId="20" xfId="0" applyFont="1" applyFill="1" applyBorder="1" applyAlignment="1">
      <alignment wrapText="1"/>
    </xf>
    <xf numFmtId="0" fontId="33" fillId="46" borderId="21" xfId="0" applyFont="1" applyFill="1" applyBorder="1" applyAlignment="1">
      <alignment wrapText="1"/>
    </xf>
    <xf numFmtId="0" fontId="27" fillId="46" borderId="21" xfId="0" applyFont="1" applyFill="1" applyBorder="1" applyAlignment="1">
      <alignment wrapText="1"/>
    </xf>
    <xf numFmtId="0" fontId="27" fillId="46" borderId="22" xfId="0" applyFont="1" applyFill="1" applyBorder="1" applyAlignment="1">
      <alignment wrapText="1"/>
    </xf>
    <xf numFmtId="1" fontId="33" fillId="46" borderId="10" xfId="0" applyNumberFormat="1" applyFont="1" applyFill="1" applyBorder="1" applyAlignment="1">
      <alignment horizontal="center" vertical="center" wrapText="1"/>
    </xf>
    <xf numFmtId="0" fontId="35" fillId="47" borderId="16" xfId="71" applyFont="1" applyFill="1" applyBorder="1" applyAlignment="1"/>
    <xf numFmtId="0" fontId="35" fillId="47" borderId="10" xfId="71" applyFont="1" applyFill="1" applyBorder="1" applyAlignment="1"/>
    <xf numFmtId="0" fontId="37" fillId="47" borderId="10" xfId="71" applyFont="1" applyFill="1" applyBorder="1" applyAlignment="1"/>
    <xf numFmtId="0" fontId="32" fillId="0" borderId="11" xfId="0" applyFont="1" applyBorder="1" applyAlignment="1">
      <alignment vertical="center" wrapText="1"/>
    </xf>
    <xf numFmtId="0" fontId="32" fillId="0" borderId="10" xfId="0" applyFont="1" applyFill="1" applyBorder="1" applyAlignment="1">
      <alignment vertical="center" wrapText="1"/>
    </xf>
    <xf numFmtId="0" fontId="30" fillId="0" borderId="11" xfId="1" applyFont="1" applyFill="1" applyBorder="1" applyAlignment="1">
      <alignment horizontal="center" vertical="center" wrapText="1"/>
    </xf>
    <xf numFmtId="167" fontId="30" fillId="46" borderId="10" xfId="71" applyNumberFormat="1" applyFont="1" applyFill="1" applyBorder="1" applyAlignment="1" applyProtection="1">
      <alignment horizontal="left" vertical="center" wrapText="1"/>
    </xf>
    <xf numFmtId="0" fontId="30" fillId="0" borderId="10" xfId="0" applyFont="1" applyFill="1" applyBorder="1" applyAlignment="1">
      <alignment horizontal="center" vertical="center" wrapText="1"/>
    </xf>
    <xf numFmtId="0" fontId="30" fillId="0" borderId="10" xfId="89" applyNumberFormat="1" applyFont="1" applyFill="1" applyBorder="1" applyAlignment="1">
      <alignment horizontal="center" vertical="center" wrapText="1"/>
    </xf>
    <xf numFmtId="0" fontId="30" fillId="0" borderId="16" xfId="57" quotePrefix="1" applyNumberFormat="1" applyFont="1" applyFill="1" applyBorder="1" applyAlignment="1" applyProtection="1">
      <alignment horizontal="center" vertical="center" wrapText="1"/>
    </xf>
    <xf numFmtId="0" fontId="32" fillId="0" borderId="10" xfId="0" applyFont="1" applyFill="1" applyBorder="1" applyAlignment="1">
      <alignment horizontal="center" vertical="center" wrapText="1"/>
    </xf>
    <xf numFmtId="166" fontId="30" fillId="49" borderId="10" xfId="1" applyNumberFormat="1" applyFont="1" applyFill="1" applyBorder="1" applyAlignment="1">
      <alignment horizontal="center" vertical="center" wrapText="1"/>
    </xf>
    <xf numFmtId="0" fontId="30" fillId="50" borderId="17" xfId="0" applyFont="1" applyFill="1" applyBorder="1" applyAlignment="1">
      <alignment horizontal="center" vertical="center" wrapText="1"/>
    </xf>
    <xf numFmtId="1" fontId="32" fillId="0" borderId="10" xfId="0" applyNumberFormat="1" applyFont="1" applyFill="1" applyBorder="1" applyAlignment="1">
      <alignment horizontal="center" vertical="center" wrapText="1"/>
    </xf>
    <xf numFmtId="0" fontId="33" fillId="0" borderId="10" xfId="0" applyFont="1" applyBorder="1" applyAlignment="1">
      <alignment horizontal="left" wrapText="1"/>
    </xf>
    <xf numFmtId="0" fontId="33" fillId="0" borderId="19" xfId="0" applyFont="1" applyBorder="1" applyAlignment="1">
      <alignment horizontal="left" wrapText="1"/>
    </xf>
    <xf numFmtId="0" fontId="37" fillId="47" borderId="23" xfId="71" applyFont="1" applyFill="1" applyBorder="1" applyAlignment="1">
      <alignment horizontal="center"/>
    </xf>
    <xf numFmtId="0" fontId="37" fillId="47" borderId="24" xfId="71" applyFont="1" applyFill="1" applyBorder="1" applyAlignment="1">
      <alignment horizontal="center"/>
    </xf>
    <xf numFmtId="0" fontId="35" fillId="48" borderId="18" xfId="82" applyNumberFormat="1" applyFont="1" applyFill="1" applyBorder="1" applyAlignment="1">
      <alignment horizontal="center" vertical="center" wrapText="1"/>
    </xf>
    <xf numFmtId="0" fontId="35" fillId="48" borderId="14" xfId="82" applyNumberFormat="1" applyFont="1" applyFill="1" applyBorder="1" applyAlignment="1">
      <alignment horizontal="center" vertical="center" wrapText="1"/>
    </xf>
    <xf numFmtId="0" fontId="35" fillId="48" borderId="15" xfId="82" applyNumberFormat="1" applyFont="1" applyFill="1" applyBorder="1" applyAlignment="1">
      <alignment horizontal="center" vertical="center" wrapText="1"/>
    </xf>
    <xf numFmtId="0" fontId="35" fillId="48" borderId="12" xfId="82" applyNumberFormat="1" applyFont="1" applyFill="1" applyBorder="1" applyAlignment="1">
      <alignment horizontal="center" vertical="center" wrapText="1"/>
    </xf>
    <xf numFmtId="0" fontId="35" fillId="48" borderId="0" xfId="82" applyNumberFormat="1" applyFont="1" applyFill="1" applyBorder="1" applyAlignment="1">
      <alignment horizontal="center" vertical="center" wrapText="1"/>
    </xf>
    <xf numFmtId="0" fontId="35" fillId="48" borderId="13" xfId="82" applyNumberFormat="1" applyFont="1" applyFill="1" applyBorder="1" applyAlignment="1">
      <alignment horizontal="center" vertical="center" wrapText="1"/>
    </xf>
    <xf numFmtId="0" fontId="36" fillId="0" borderId="10" xfId="71" applyFont="1" applyBorder="1" applyAlignment="1">
      <alignment horizontal="left"/>
    </xf>
    <xf numFmtId="0" fontId="38" fillId="0" borderId="10" xfId="71" applyFont="1" applyBorder="1" applyAlignment="1">
      <alignment horizontal="left"/>
    </xf>
    <xf numFmtId="0" fontId="36" fillId="0" borderId="16" xfId="71" applyFont="1" applyBorder="1" applyAlignment="1">
      <alignment horizontal="left"/>
    </xf>
    <xf numFmtId="0" fontId="37" fillId="0" borderId="16" xfId="71" applyFont="1" applyBorder="1" applyAlignment="1">
      <alignment horizontal="left"/>
    </xf>
    <xf numFmtId="0" fontId="37" fillId="0" borderId="10" xfId="71" applyFont="1" applyBorder="1" applyAlignment="1">
      <alignment horizontal="left"/>
    </xf>
    <xf numFmtId="0" fontId="37" fillId="47" borderId="16" xfId="71" applyFont="1" applyFill="1" applyBorder="1" applyAlignment="1">
      <alignment horizontal="left"/>
    </xf>
    <xf numFmtId="0" fontId="37" fillId="47" borderId="10" xfId="71" applyFont="1" applyFill="1" applyBorder="1" applyAlignment="1">
      <alignment horizontal="left"/>
    </xf>
  </cellXfs>
  <cellStyles count="97">
    <cellStyle name="20% - Accent1 2" xfId="3"/>
    <cellStyle name="20% - Accent1 3" xfId="2"/>
    <cellStyle name="20% - Accent2 2" xfId="5"/>
    <cellStyle name="20% - Accent2 3" xfId="4"/>
    <cellStyle name="20% - Accent3 2" xfId="7"/>
    <cellStyle name="20% - Accent3 3" xfId="6"/>
    <cellStyle name="20% - Accent4 2" xfId="9"/>
    <cellStyle name="20% - Accent4 3" xfId="8"/>
    <cellStyle name="20% - Accent5 2" xfId="11"/>
    <cellStyle name="20% - Accent5 3" xfId="10"/>
    <cellStyle name="20% - Accent6 2" xfId="13"/>
    <cellStyle name="20% - Accent6 3" xfId="12"/>
    <cellStyle name="40% - Accent1 2" xfId="15"/>
    <cellStyle name="40% - Accent1 3" xfId="14"/>
    <cellStyle name="40% - Accent2 2" xfId="17"/>
    <cellStyle name="40% - Accent2 3" xfId="16"/>
    <cellStyle name="40% - Accent3 2" xfId="19"/>
    <cellStyle name="40% - Accent3 3" xfId="18"/>
    <cellStyle name="40% - Accent4 2" xfId="21"/>
    <cellStyle name="40% - Accent4 3" xfId="20"/>
    <cellStyle name="40% - Accent5 2" xfId="23"/>
    <cellStyle name="40% - Accent5 3" xfId="22"/>
    <cellStyle name="40% - Accent6 2" xfId="25"/>
    <cellStyle name="40% - Accent6 3" xfId="24"/>
    <cellStyle name="60% - Accent1 2" xfId="27"/>
    <cellStyle name="60% - Accent1 3" xfId="26"/>
    <cellStyle name="60% - Accent2 2" xfId="29"/>
    <cellStyle name="60% - Accent2 3" xfId="28"/>
    <cellStyle name="60% - Accent3 2" xfId="31"/>
    <cellStyle name="60% - Accent3 3" xfId="30"/>
    <cellStyle name="60% - Accent4 2" xfId="33"/>
    <cellStyle name="60% - Accent4 3" xfId="32"/>
    <cellStyle name="60% - Accent5 2" xfId="35"/>
    <cellStyle name="60% - Accent5 3" xfId="34"/>
    <cellStyle name="60% - Accent6 2" xfId="37"/>
    <cellStyle name="60% - Accent6 3" xfId="36"/>
    <cellStyle name="Accent1 2" xfId="39"/>
    <cellStyle name="Accent1 3" xfId="38"/>
    <cellStyle name="Accent2 2" xfId="41"/>
    <cellStyle name="Accent2 3" xfId="40"/>
    <cellStyle name="Accent3 2" xfId="43"/>
    <cellStyle name="Accent3 3" xfId="42"/>
    <cellStyle name="Accent4 2" xfId="45"/>
    <cellStyle name="Accent4 3" xfId="44"/>
    <cellStyle name="Accent5 2" xfId="47"/>
    <cellStyle name="Accent5 3" xfId="46"/>
    <cellStyle name="Accent6 2" xfId="49"/>
    <cellStyle name="Accent6 3" xfId="48"/>
    <cellStyle name="Bad 2" xfId="51"/>
    <cellStyle name="Bad 3" xfId="50"/>
    <cellStyle name="Calculation 2" xfId="53"/>
    <cellStyle name="Calculation 3" xfId="52"/>
    <cellStyle name="Check Cell 2" xfId="55"/>
    <cellStyle name="Check Cell 3" xfId="54"/>
    <cellStyle name="Comma 2" xfId="57"/>
    <cellStyle name="Comma 2 2" xfId="84"/>
    <cellStyle name="Comma 2 3" xfId="83"/>
    <cellStyle name="Comma 3" xfId="58"/>
    <cellStyle name="Comma 4" xfId="56"/>
    <cellStyle name="Comma 5" xfId="88"/>
    <cellStyle name="Excel Built-in Normal" xfId="85"/>
    <cellStyle name="Excel Built-in Normal 1" xfId="86"/>
    <cellStyle name="Excel Built-in Normal 2" xfId="87"/>
    <cellStyle name="Explanatory Text 2" xfId="59"/>
    <cellStyle name="Good 2" xfId="61"/>
    <cellStyle name="Good 3" xfId="60"/>
    <cellStyle name="Heading 1 2" xfId="62"/>
    <cellStyle name="Heading 2 2" xfId="63"/>
    <cellStyle name="Heading 3 2" xfId="64"/>
    <cellStyle name="Heading 4 2" xfId="65"/>
    <cellStyle name="Input 2" xfId="67"/>
    <cellStyle name="Input 3" xfId="66"/>
    <cellStyle name="Linked Cell 2" xfId="68"/>
    <cellStyle name="Neutral 2" xfId="70"/>
    <cellStyle name="Neutral 3" xfId="69"/>
    <cellStyle name="Normal" xfId="0" builtinId="0"/>
    <cellStyle name="Normal 10" xfId="96"/>
    <cellStyle name="Normal 12" xfId="93"/>
    <cellStyle name="Normal 14" xfId="90"/>
    <cellStyle name="Normal 15" xfId="91"/>
    <cellStyle name="Normal 17" xfId="92"/>
    <cellStyle name="Normal 2" xfId="71"/>
    <cellStyle name="Normal 2 2" xfId="89"/>
    <cellStyle name="Normal 3" xfId="1"/>
    <cellStyle name="Normal 4" xfId="82"/>
    <cellStyle name="Normal 5" xfId="95"/>
    <cellStyle name="Normal 6 2" xfId="94"/>
    <cellStyle name="Note 2" xfId="73"/>
    <cellStyle name="Note 3" xfId="72"/>
    <cellStyle name="Output 2" xfId="75"/>
    <cellStyle name="Output 3" xfId="74"/>
    <cellStyle name="Percent 2" xfId="76"/>
    <cellStyle name="Style 1" xfId="77"/>
    <cellStyle name="Style 1 2" xfId="78"/>
    <cellStyle name="Title 2" xfId="79"/>
    <cellStyle name="Total 2" xfId="80"/>
    <cellStyle name="Warning Text 2" xfId="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163657</xdr:colOff>
      <xdr:row>1</xdr:row>
      <xdr:rowOff>121227</xdr:rowOff>
    </xdr:from>
    <xdr:to>
      <xdr:col>2</xdr:col>
      <xdr:colOff>2251362</xdr:colOff>
      <xdr:row>5</xdr:row>
      <xdr:rowOff>173181</xdr:rowOff>
    </xdr:to>
    <xdr:pic>
      <xdr:nvPicPr>
        <xdr:cNvPr id="3"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769793" y="329045"/>
          <a:ext cx="2797751" cy="109104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12"/>
  <sheetViews>
    <sheetView tabSelected="1" view="pageBreakPreview" topLeftCell="A29" zoomScale="55" zoomScaleNormal="60" zoomScaleSheetLayoutView="55" workbookViewId="0">
      <selection activeCell="C36" sqref="C36"/>
    </sheetView>
  </sheetViews>
  <sheetFormatPr defaultRowHeight="15.75"/>
  <cols>
    <col min="1" max="1" width="9.140625" style="1"/>
    <col min="2" max="2" width="10.5703125" style="1" customWidth="1"/>
    <col min="3" max="3" width="148.7109375" style="1" customWidth="1"/>
    <col min="4" max="4" width="14.28515625" style="1" customWidth="1"/>
    <col min="5" max="5" width="10.42578125" style="1" customWidth="1"/>
    <col min="6" max="6" width="16.42578125" style="1" hidden="1" customWidth="1"/>
    <col min="7" max="7" width="24.7109375" style="1" hidden="1" customWidth="1"/>
    <col min="8" max="8" width="22.7109375" style="1" customWidth="1"/>
    <col min="9" max="9" width="14.7109375" style="1" customWidth="1"/>
    <col min="10" max="10" width="20.7109375" style="1" hidden="1" customWidth="1"/>
    <col min="11" max="11" width="22.5703125" style="1" customWidth="1"/>
    <col min="12" max="12" width="27" style="1" customWidth="1"/>
    <col min="13" max="16384" width="9.140625" style="1"/>
  </cols>
  <sheetData>
    <row r="1" spans="2:15" ht="16.5" thickBot="1"/>
    <row r="2" spans="2:15" ht="20.25" customHeight="1">
      <c r="B2" s="61"/>
      <c r="C2" s="62"/>
      <c r="D2" s="62"/>
      <c r="E2" s="62"/>
      <c r="F2" s="62"/>
      <c r="G2" s="62"/>
      <c r="H2" s="62"/>
      <c r="I2" s="62"/>
      <c r="J2" s="62"/>
      <c r="K2" s="62"/>
      <c r="L2" s="63"/>
    </row>
    <row r="3" spans="2:15" ht="20.25" customHeight="1">
      <c r="B3" s="64"/>
      <c r="C3" s="65"/>
      <c r="D3" s="65"/>
      <c r="E3" s="65"/>
      <c r="F3" s="65"/>
      <c r="G3" s="65"/>
      <c r="H3" s="65"/>
      <c r="I3" s="65"/>
      <c r="J3" s="65"/>
      <c r="K3" s="65"/>
      <c r="L3" s="66"/>
    </row>
    <row r="4" spans="2:15" ht="20.25" customHeight="1">
      <c r="B4" s="64"/>
      <c r="C4" s="65"/>
      <c r="D4" s="65"/>
      <c r="E4" s="65"/>
      <c r="F4" s="65"/>
      <c r="G4" s="65"/>
      <c r="H4" s="65"/>
      <c r="I4" s="65"/>
      <c r="J4" s="65"/>
      <c r="K4" s="65"/>
      <c r="L4" s="66"/>
    </row>
    <row r="5" spans="2:15" ht="20.25" customHeight="1">
      <c r="B5" s="64"/>
      <c r="C5" s="65"/>
      <c r="D5" s="65"/>
      <c r="E5" s="65"/>
      <c r="F5" s="65"/>
      <c r="G5" s="65"/>
      <c r="H5" s="65"/>
      <c r="I5" s="65"/>
      <c r="J5" s="65"/>
      <c r="K5" s="65"/>
      <c r="L5" s="66"/>
    </row>
    <row r="6" spans="2:15" ht="20.25" customHeight="1">
      <c r="B6" s="64"/>
      <c r="C6" s="65"/>
      <c r="D6" s="65"/>
      <c r="E6" s="65"/>
      <c r="F6" s="65"/>
      <c r="G6" s="65"/>
      <c r="H6" s="65"/>
      <c r="I6" s="65"/>
      <c r="J6" s="65"/>
      <c r="K6" s="65"/>
      <c r="L6" s="66"/>
    </row>
    <row r="7" spans="2:15" ht="30.75" customHeight="1">
      <c r="B7" s="69" t="s">
        <v>27</v>
      </c>
      <c r="C7" s="67"/>
      <c r="D7" s="67"/>
      <c r="E7" s="67" t="s">
        <v>28</v>
      </c>
      <c r="F7" s="67"/>
      <c r="G7" s="67"/>
      <c r="H7" s="67"/>
      <c r="I7" s="67"/>
      <c r="J7" s="67"/>
      <c r="K7" s="67"/>
      <c r="L7" s="67"/>
    </row>
    <row r="8" spans="2:15" ht="22.5" customHeight="1">
      <c r="B8" s="70" t="s">
        <v>29</v>
      </c>
      <c r="C8" s="71"/>
      <c r="D8" s="71"/>
      <c r="E8" s="68" t="s">
        <v>90</v>
      </c>
      <c r="F8" s="68"/>
      <c r="G8" s="68"/>
      <c r="H8" s="68"/>
      <c r="I8" s="68"/>
      <c r="J8" s="68"/>
      <c r="K8" s="68"/>
      <c r="L8" s="68"/>
    </row>
    <row r="9" spans="2:15" ht="22.5" customHeight="1">
      <c r="B9" s="72" t="s">
        <v>30</v>
      </c>
      <c r="C9" s="73"/>
      <c r="D9" s="73"/>
      <c r="E9" s="68" t="s">
        <v>91</v>
      </c>
      <c r="F9" s="68"/>
      <c r="G9" s="68"/>
      <c r="H9" s="68"/>
      <c r="I9" s="68"/>
      <c r="J9" s="68"/>
      <c r="K9" s="68"/>
      <c r="L9" s="68"/>
    </row>
    <row r="10" spans="2:15" ht="22.5" customHeight="1">
      <c r="B10" s="72" t="s">
        <v>31</v>
      </c>
      <c r="C10" s="73"/>
      <c r="D10" s="73"/>
      <c r="E10" s="68" t="s">
        <v>92</v>
      </c>
      <c r="F10" s="68"/>
      <c r="G10" s="68"/>
      <c r="H10" s="68"/>
      <c r="I10" s="68"/>
      <c r="J10" s="68"/>
      <c r="K10" s="68"/>
      <c r="L10" s="68"/>
      <c r="N10" s="1">
        <v>1</v>
      </c>
      <c r="O10" s="1">
        <v>1</v>
      </c>
    </row>
    <row r="11" spans="2:15" ht="22.5" customHeight="1">
      <c r="B11" s="43" t="s">
        <v>39</v>
      </c>
      <c r="C11" s="44"/>
      <c r="D11" s="45"/>
      <c r="E11" s="68" t="s">
        <v>93</v>
      </c>
      <c r="F11" s="68"/>
      <c r="G11" s="68"/>
      <c r="H11" s="68"/>
      <c r="I11" s="68"/>
      <c r="J11" s="68"/>
      <c r="K11" s="68"/>
      <c r="L11" s="68"/>
    </row>
    <row r="12" spans="2:15" ht="23.25">
      <c r="B12" s="72" t="s">
        <v>32</v>
      </c>
      <c r="C12" s="73"/>
      <c r="D12" s="73"/>
      <c r="E12" s="68" t="s">
        <v>94</v>
      </c>
      <c r="F12" s="68"/>
      <c r="G12" s="68"/>
      <c r="H12" s="68"/>
      <c r="I12" s="68"/>
      <c r="J12" s="68"/>
      <c r="K12" s="68"/>
      <c r="L12" s="68"/>
    </row>
    <row r="13" spans="2:15" ht="23.25">
      <c r="B13" s="59" t="s">
        <v>37</v>
      </c>
      <c r="C13" s="60"/>
      <c r="D13" s="60"/>
      <c r="E13" s="60"/>
      <c r="F13" s="60"/>
      <c r="G13" s="60"/>
      <c r="H13" s="60"/>
      <c r="I13" s="60"/>
      <c r="J13" s="60"/>
      <c r="K13" s="60"/>
      <c r="L13" s="60"/>
    </row>
    <row r="14" spans="2:15" ht="70.5" customHeight="1">
      <c r="B14" s="24" t="s">
        <v>0</v>
      </c>
      <c r="C14" s="25" t="s">
        <v>1</v>
      </c>
      <c r="D14" s="25" t="s">
        <v>2</v>
      </c>
      <c r="E14" s="25" t="s">
        <v>3</v>
      </c>
      <c r="F14" s="25" t="s">
        <v>14</v>
      </c>
      <c r="G14" s="26" t="s">
        <v>21</v>
      </c>
      <c r="H14" s="26" t="s">
        <v>25</v>
      </c>
      <c r="I14" s="54" t="s">
        <v>15</v>
      </c>
      <c r="J14" s="16" t="s">
        <v>26</v>
      </c>
      <c r="K14" s="16" t="s">
        <v>26</v>
      </c>
      <c r="L14" s="55" t="s">
        <v>16</v>
      </c>
    </row>
    <row r="15" spans="2:15" ht="25.5" customHeight="1">
      <c r="B15" s="3"/>
      <c r="C15" s="4" t="s">
        <v>19</v>
      </c>
      <c r="D15" s="5"/>
      <c r="E15" s="5"/>
      <c r="F15" s="5"/>
      <c r="G15" s="5"/>
      <c r="H15" s="5"/>
      <c r="I15" s="5"/>
      <c r="J15" s="48"/>
      <c r="K15" s="19"/>
      <c r="L15" s="13"/>
    </row>
    <row r="16" spans="2:15" ht="121.5">
      <c r="B16" s="6">
        <v>1</v>
      </c>
      <c r="C16" s="47" t="s">
        <v>40</v>
      </c>
      <c r="D16" s="50"/>
      <c r="E16" s="51"/>
      <c r="F16" s="5"/>
      <c r="G16" s="5"/>
      <c r="H16" s="5"/>
      <c r="I16" s="5"/>
      <c r="J16" s="48"/>
      <c r="K16" s="19"/>
      <c r="L16" s="13"/>
    </row>
    <row r="17" spans="2:14" ht="25.5" customHeight="1">
      <c r="B17" s="52" t="s">
        <v>54</v>
      </c>
      <c r="C17" s="47" t="s">
        <v>41</v>
      </c>
      <c r="D17" s="53" t="s">
        <v>17</v>
      </c>
      <c r="E17" s="53">
        <v>1</v>
      </c>
      <c r="F17" s="47" t="s">
        <v>76</v>
      </c>
      <c r="G17" s="47"/>
      <c r="H17" s="47">
        <f>95000*$N$10</f>
        <v>95000</v>
      </c>
      <c r="I17" s="47">
        <f>H17*E17</f>
        <v>95000</v>
      </c>
      <c r="J17" s="47"/>
      <c r="K17" s="47">
        <f>7000*$N$10</f>
        <v>7000</v>
      </c>
      <c r="L17" s="47">
        <f>K17*E17</f>
        <v>7000</v>
      </c>
    </row>
    <row r="18" spans="2:14" ht="25.5" customHeight="1">
      <c r="B18" s="52" t="s">
        <v>56</v>
      </c>
      <c r="C18" s="47" t="s">
        <v>42</v>
      </c>
      <c r="D18" s="53" t="s">
        <v>17</v>
      </c>
      <c r="E18" s="53">
        <v>1</v>
      </c>
      <c r="F18" s="47"/>
      <c r="G18" s="47"/>
      <c r="H18" s="47">
        <f>5100*29*$N$10</f>
        <v>147900</v>
      </c>
      <c r="I18" s="47">
        <f t="shared" ref="I18:I71" si="0">H18*E18</f>
        <v>147900</v>
      </c>
      <c r="J18" s="47"/>
      <c r="K18" s="47">
        <f>9000*$N$10</f>
        <v>9000</v>
      </c>
      <c r="L18" s="47">
        <f t="shared" ref="L18:L71" si="1">K18*E18</f>
        <v>9000</v>
      </c>
    </row>
    <row r="19" spans="2:14" ht="25.5" customHeight="1">
      <c r="B19" s="52"/>
      <c r="C19" s="47"/>
      <c r="D19" s="47"/>
      <c r="E19" s="47"/>
      <c r="F19" s="47"/>
      <c r="G19" s="47"/>
      <c r="H19" s="47"/>
      <c r="I19" s="47"/>
      <c r="J19" s="47"/>
      <c r="K19" s="47"/>
      <c r="L19" s="47"/>
    </row>
    <row r="20" spans="2:14" ht="25.5" customHeight="1">
      <c r="B20" s="52">
        <v>2</v>
      </c>
      <c r="C20" s="47" t="s">
        <v>43</v>
      </c>
      <c r="D20" s="47"/>
      <c r="E20" s="47"/>
      <c r="F20" s="47"/>
      <c r="G20" s="47"/>
      <c r="H20" s="47"/>
      <c r="I20" s="47"/>
      <c r="J20" s="47"/>
      <c r="K20" s="47"/>
      <c r="L20" s="47"/>
    </row>
    <row r="21" spans="2:14" ht="20.25">
      <c r="B21" s="52" t="s">
        <v>54</v>
      </c>
      <c r="C21" s="47" t="s">
        <v>44</v>
      </c>
      <c r="D21" s="53" t="s">
        <v>17</v>
      </c>
      <c r="E21" s="53">
        <v>1</v>
      </c>
      <c r="F21" s="47"/>
      <c r="G21" s="47"/>
      <c r="H21" s="47">
        <f>83500*$N$10</f>
        <v>83500</v>
      </c>
      <c r="I21" s="47">
        <f t="shared" si="0"/>
        <v>83500</v>
      </c>
      <c r="J21" s="47"/>
      <c r="K21" s="47">
        <f>1000*11*$N$10</f>
        <v>11000</v>
      </c>
      <c r="L21" s="47">
        <f t="shared" si="1"/>
        <v>11000</v>
      </c>
      <c r="N21" s="1">
        <f>120000*1.35</f>
        <v>162000</v>
      </c>
    </row>
    <row r="22" spans="2:14" ht="25.5" customHeight="1">
      <c r="B22" s="52" t="s">
        <v>56</v>
      </c>
      <c r="C22" s="47" t="s">
        <v>45</v>
      </c>
      <c r="D22" s="53" t="s">
        <v>17</v>
      </c>
      <c r="E22" s="53">
        <v>1</v>
      </c>
      <c r="F22" s="47"/>
      <c r="G22" s="47"/>
      <c r="H22" s="47">
        <f>32500*$N$10</f>
        <v>32500</v>
      </c>
      <c r="I22" s="47">
        <f t="shared" si="0"/>
        <v>32500</v>
      </c>
      <c r="J22" s="47"/>
      <c r="K22" s="47">
        <f>1000*3*$N$10</f>
        <v>3000</v>
      </c>
      <c r="L22" s="47">
        <f t="shared" si="1"/>
        <v>3000</v>
      </c>
    </row>
    <row r="23" spans="2:14" ht="25.5" customHeight="1">
      <c r="B23" s="52" t="s">
        <v>89</v>
      </c>
      <c r="C23" s="47" t="s">
        <v>46</v>
      </c>
      <c r="D23" s="53" t="s">
        <v>17</v>
      </c>
      <c r="E23" s="53">
        <v>1</v>
      </c>
      <c r="F23" s="47"/>
      <c r="G23" s="47"/>
      <c r="H23" s="47">
        <f>1300*$N$10</f>
        <v>1300</v>
      </c>
      <c r="I23" s="47">
        <f t="shared" si="0"/>
        <v>1300</v>
      </c>
      <c r="J23" s="47"/>
      <c r="K23" s="47">
        <f>300*$N$10</f>
        <v>300</v>
      </c>
      <c r="L23" s="47">
        <f t="shared" si="1"/>
        <v>300</v>
      </c>
    </row>
    <row r="24" spans="2:14" ht="25.5" customHeight="1">
      <c r="B24" s="53" t="s">
        <v>47</v>
      </c>
      <c r="C24" s="47" t="s">
        <v>48</v>
      </c>
      <c r="D24" s="53" t="s">
        <v>17</v>
      </c>
      <c r="E24" s="53">
        <v>2</v>
      </c>
      <c r="F24" s="47"/>
      <c r="G24" s="47"/>
      <c r="H24" s="47">
        <f>700*$N$10</f>
        <v>700</v>
      </c>
      <c r="I24" s="47">
        <f t="shared" si="0"/>
        <v>1400</v>
      </c>
      <c r="J24" s="47"/>
      <c r="K24" s="47">
        <f>250*$N$10</f>
        <v>250</v>
      </c>
      <c r="L24" s="47">
        <f t="shared" si="1"/>
        <v>500</v>
      </c>
    </row>
    <row r="25" spans="2:14" ht="20.25">
      <c r="B25" s="47" t="s">
        <v>95</v>
      </c>
      <c r="C25" s="47" t="s">
        <v>96</v>
      </c>
      <c r="D25" s="47"/>
      <c r="E25" s="47"/>
      <c r="F25" s="47"/>
      <c r="G25" s="47"/>
      <c r="H25" s="47"/>
      <c r="I25" s="47"/>
      <c r="J25" s="47"/>
      <c r="K25" s="47"/>
      <c r="L25" s="47"/>
    </row>
    <row r="26" spans="2:14" ht="20.25">
      <c r="B26" s="53">
        <v>3</v>
      </c>
      <c r="C26" s="47" t="s">
        <v>77</v>
      </c>
      <c r="D26" s="53" t="s">
        <v>78</v>
      </c>
      <c r="E26" s="53">
        <v>10</v>
      </c>
      <c r="F26" s="47"/>
      <c r="G26" s="47"/>
      <c r="H26" s="47">
        <f>1500*$N$10</f>
        <v>1500</v>
      </c>
      <c r="I26" s="47">
        <f t="shared" si="0"/>
        <v>15000</v>
      </c>
      <c r="J26" s="47"/>
      <c r="K26" s="47">
        <f>100*$N$10</f>
        <v>100</v>
      </c>
      <c r="L26" s="47">
        <f t="shared" si="1"/>
        <v>1000</v>
      </c>
    </row>
    <row r="27" spans="2:14" ht="25.5" customHeight="1">
      <c r="B27" s="47"/>
      <c r="C27" s="47"/>
      <c r="D27" s="47"/>
      <c r="E27" s="47"/>
      <c r="F27" s="47"/>
      <c r="G27" s="47"/>
      <c r="H27" s="47"/>
      <c r="I27" s="47"/>
      <c r="J27" s="47"/>
      <c r="K27" s="47"/>
      <c r="L27" s="47"/>
    </row>
    <row r="28" spans="2:14" ht="25.5" customHeight="1">
      <c r="B28" s="53">
        <v>4</v>
      </c>
      <c r="C28" s="47" t="s">
        <v>79</v>
      </c>
      <c r="D28" s="53" t="s">
        <v>78</v>
      </c>
      <c r="E28" s="53">
        <v>6</v>
      </c>
      <c r="F28" s="47"/>
      <c r="G28" s="47"/>
      <c r="H28" s="47">
        <f>270*$N$10</f>
        <v>270</v>
      </c>
      <c r="I28" s="47">
        <f t="shared" si="0"/>
        <v>1620</v>
      </c>
      <c r="J28" s="47"/>
      <c r="K28" s="47">
        <f>70*$N$10</f>
        <v>70</v>
      </c>
      <c r="L28" s="47">
        <f t="shared" si="1"/>
        <v>420</v>
      </c>
    </row>
    <row r="29" spans="2:14" ht="25.5" customHeight="1">
      <c r="B29" s="47"/>
      <c r="C29" s="47"/>
      <c r="D29" s="47"/>
      <c r="E29" s="47"/>
      <c r="F29" s="47"/>
      <c r="G29" s="47"/>
      <c r="H29" s="47"/>
      <c r="I29" s="47"/>
      <c r="J29" s="47"/>
      <c r="K29" s="47"/>
      <c r="L29" s="47"/>
    </row>
    <row r="30" spans="2:14" ht="40.5" customHeight="1">
      <c r="B30" s="53">
        <v>5</v>
      </c>
      <c r="C30" s="47" t="s">
        <v>49</v>
      </c>
      <c r="D30" s="53" t="s">
        <v>80</v>
      </c>
      <c r="E30" s="53">
        <v>5</v>
      </c>
      <c r="F30" s="53"/>
      <c r="G30" s="53"/>
      <c r="H30" s="47">
        <f>900*$N$10</f>
        <v>900</v>
      </c>
      <c r="I30" s="47">
        <f t="shared" si="0"/>
        <v>4500</v>
      </c>
      <c r="J30" s="47"/>
      <c r="K30" s="47">
        <f>70*$N$10</f>
        <v>70</v>
      </c>
      <c r="L30" s="47">
        <f t="shared" ref="L30" si="2">K30*E30</f>
        <v>350</v>
      </c>
    </row>
    <row r="31" spans="2:14" ht="52.5" customHeight="1">
      <c r="B31" s="53">
        <v>6</v>
      </c>
      <c r="C31" s="47" t="s">
        <v>50</v>
      </c>
      <c r="D31" s="53" t="s">
        <v>78</v>
      </c>
      <c r="E31" s="53">
        <v>10</v>
      </c>
      <c r="F31" s="47"/>
      <c r="G31" s="47"/>
      <c r="H31" s="47">
        <f>150+100*$N$10</f>
        <v>250</v>
      </c>
      <c r="I31" s="47">
        <f t="shared" si="0"/>
        <v>2500</v>
      </c>
      <c r="J31" s="47"/>
      <c r="K31" s="47">
        <f>70*$N$10</f>
        <v>70</v>
      </c>
      <c r="L31" s="47">
        <f t="shared" ref="L31" si="3">K31*E31</f>
        <v>700</v>
      </c>
    </row>
    <row r="32" spans="2:14" ht="25.5" customHeight="1">
      <c r="B32" s="52" t="s">
        <v>54</v>
      </c>
      <c r="C32" s="47" t="s">
        <v>51</v>
      </c>
      <c r="D32" s="47"/>
      <c r="E32" s="47"/>
      <c r="F32" s="47"/>
      <c r="G32" s="47"/>
      <c r="H32" s="47"/>
      <c r="I32" s="47"/>
      <c r="J32" s="47"/>
      <c r="K32" s="47"/>
      <c r="L32" s="47"/>
    </row>
    <row r="33" spans="2:16" ht="25.5" customHeight="1">
      <c r="B33" s="53"/>
      <c r="C33" s="47"/>
      <c r="D33" s="47"/>
      <c r="E33" s="47"/>
      <c r="F33" s="47"/>
      <c r="G33" s="47"/>
      <c r="H33" s="47"/>
      <c r="I33" s="47"/>
      <c r="J33" s="47"/>
      <c r="K33" s="47"/>
      <c r="L33" s="47"/>
    </row>
    <row r="34" spans="2:16" ht="25.5" customHeight="1">
      <c r="B34" s="53">
        <v>7</v>
      </c>
      <c r="C34" s="47" t="s">
        <v>52</v>
      </c>
      <c r="D34" s="47"/>
      <c r="E34" s="47"/>
      <c r="F34" s="47"/>
      <c r="G34" s="47"/>
      <c r="H34" s="47"/>
      <c r="I34" s="47"/>
      <c r="J34" s="47"/>
      <c r="K34" s="47"/>
      <c r="L34" s="47"/>
    </row>
    <row r="35" spans="2:16" ht="97.5" customHeight="1">
      <c r="B35" s="47"/>
      <c r="C35" s="47" t="s">
        <v>53</v>
      </c>
      <c r="D35" s="47"/>
      <c r="E35" s="47"/>
      <c r="F35" s="47"/>
      <c r="G35" s="47"/>
      <c r="H35" s="47"/>
      <c r="I35" s="47"/>
      <c r="J35" s="47"/>
      <c r="K35" s="47"/>
      <c r="L35" s="47"/>
    </row>
    <row r="36" spans="2:16" ht="25.5" customHeight="1">
      <c r="B36" s="53" t="s">
        <v>54</v>
      </c>
      <c r="C36" s="47" t="s">
        <v>55</v>
      </c>
      <c r="D36" s="53" t="s">
        <v>81</v>
      </c>
      <c r="E36" s="53">
        <v>250</v>
      </c>
      <c r="F36" s="47"/>
      <c r="G36" s="47"/>
      <c r="H36" s="53">
        <f>450*1.1*$N$10</f>
        <v>495.00000000000006</v>
      </c>
      <c r="I36" s="47">
        <f t="shared" si="0"/>
        <v>123750.00000000001</v>
      </c>
      <c r="J36" s="47"/>
      <c r="K36" s="47">
        <f>210*$N$10</f>
        <v>210</v>
      </c>
      <c r="L36" s="47">
        <f t="shared" ref="L36:L37" si="4">K36*E36</f>
        <v>52500</v>
      </c>
    </row>
    <row r="37" spans="2:16" ht="20.25">
      <c r="B37" s="53" t="s">
        <v>56</v>
      </c>
      <c r="C37" s="47" t="s">
        <v>57</v>
      </c>
      <c r="D37" s="53" t="s">
        <v>81</v>
      </c>
      <c r="E37" s="53">
        <v>50</v>
      </c>
      <c r="F37" s="47"/>
      <c r="G37" s="47"/>
      <c r="H37" s="56">
        <f>600*1.1*$N$10</f>
        <v>660</v>
      </c>
      <c r="I37" s="47">
        <f t="shared" si="0"/>
        <v>33000</v>
      </c>
      <c r="J37" s="47"/>
      <c r="K37" s="47">
        <f>230*$N$10</f>
        <v>230</v>
      </c>
      <c r="L37" s="47">
        <f t="shared" si="4"/>
        <v>11500</v>
      </c>
    </row>
    <row r="38" spans="2:16" ht="20.25">
      <c r="B38" s="53"/>
      <c r="C38" s="47"/>
      <c r="D38" s="53"/>
      <c r="E38" s="53"/>
      <c r="F38" s="47"/>
      <c r="G38" s="47"/>
      <c r="H38" s="56"/>
      <c r="I38" s="47"/>
      <c r="J38" s="47"/>
      <c r="K38" s="47"/>
      <c r="L38" s="47"/>
    </row>
    <row r="39" spans="2:16" ht="30.75" customHeight="1">
      <c r="B39" s="53">
        <v>8</v>
      </c>
      <c r="C39" s="47" t="s">
        <v>58</v>
      </c>
      <c r="D39" s="53" t="s">
        <v>80</v>
      </c>
      <c r="E39" s="53">
        <v>400</v>
      </c>
      <c r="F39" s="53"/>
      <c r="G39" s="53"/>
      <c r="H39" s="56">
        <f>57*$N$10</f>
        <v>57</v>
      </c>
      <c r="I39" s="47">
        <f t="shared" si="0"/>
        <v>22800</v>
      </c>
      <c r="J39" s="47"/>
      <c r="K39" s="47">
        <f>25*$N$10</f>
        <v>25</v>
      </c>
      <c r="L39" s="47">
        <f t="shared" si="1"/>
        <v>10000</v>
      </c>
    </row>
    <row r="40" spans="2:16" ht="25.5" customHeight="1">
      <c r="B40" s="53"/>
      <c r="C40" s="47"/>
      <c r="D40" s="47"/>
      <c r="E40" s="47"/>
      <c r="F40" s="47"/>
      <c r="G40" s="47"/>
      <c r="H40" s="47"/>
      <c r="I40" s="47"/>
      <c r="J40" s="47"/>
      <c r="K40" s="47"/>
      <c r="L40" s="47"/>
    </row>
    <row r="41" spans="2:16" ht="44.25" customHeight="1">
      <c r="B41" s="53">
        <v>9</v>
      </c>
      <c r="C41" s="47" t="s">
        <v>82</v>
      </c>
      <c r="D41" s="47"/>
      <c r="E41" s="47"/>
      <c r="F41" s="47"/>
      <c r="G41" s="47"/>
      <c r="H41" s="47"/>
      <c r="I41" s="47"/>
      <c r="J41" s="47"/>
      <c r="K41" s="47"/>
      <c r="L41" s="47"/>
    </row>
    <row r="42" spans="2:16" ht="20.25">
      <c r="B42" s="47"/>
      <c r="C42" s="47"/>
      <c r="D42" s="47"/>
      <c r="E42" s="47"/>
      <c r="F42" s="47"/>
      <c r="G42" s="47"/>
      <c r="H42" s="47"/>
      <c r="I42" s="47"/>
      <c r="J42" s="47"/>
      <c r="K42" s="47"/>
      <c r="L42" s="47"/>
    </row>
    <row r="43" spans="2:16" ht="30.75" customHeight="1">
      <c r="B43" s="53" t="s">
        <v>54</v>
      </c>
      <c r="C43" s="47" t="s">
        <v>59</v>
      </c>
      <c r="D43" s="53" t="s">
        <v>81</v>
      </c>
      <c r="E43" s="53">
        <v>200</v>
      </c>
      <c r="F43" s="47"/>
      <c r="G43" s="47"/>
      <c r="H43" s="56">
        <f>240+10</f>
        <v>250</v>
      </c>
      <c r="I43" s="47">
        <f t="shared" si="0"/>
        <v>50000</v>
      </c>
      <c r="J43" s="47"/>
      <c r="K43" s="47">
        <f>90*$N$10</f>
        <v>90</v>
      </c>
      <c r="L43" s="47">
        <f t="shared" ref="L43:L44" si="5">K43*E43</f>
        <v>18000</v>
      </c>
      <c r="O43" s="1">
        <f>190</f>
        <v>190</v>
      </c>
      <c r="P43" s="1">
        <v>50</v>
      </c>
    </row>
    <row r="44" spans="2:16" ht="20.25">
      <c r="B44" s="53" t="s">
        <v>56</v>
      </c>
      <c r="C44" s="47" t="s">
        <v>60</v>
      </c>
      <c r="D44" s="53" t="s">
        <v>81</v>
      </c>
      <c r="E44" s="53">
        <v>200</v>
      </c>
      <c r="F44" s="47"/>
      <c r="G44" s="47"/>
      <c r="H44" s="56">
        <f>(9*10+35)*1.15*$N$10+50+10</f>
        <v>203.75</v>
      </c>
      <c r="I44" s="47">
        <f t="shared" si="0"/>
        <v>40750</v>
      </c>
      <c r="J44" s="47"/>
      <c r="K44" s="47">
        <f>90*$N$10</f>
        <v>90</v>
      </c>
      <c r="L44" s="47">
        <f t="shared" si="5"/>
        <v>18000</v>
      </c>
    </row>
    <row r="45" spans="2:16" ht="20.25">
      <c r="B45" s="53"/>
      <c r="C45" s="47"/>
      <c r="D45" s="53"/>
      <c r="E45" s="53"/>
      <c r="F45" s="47"/>
      <c r="G45" s="47"/>
      <c r="H45" s="47"/>
      <c r="I45" s="47"/>
      <c r="J45" s="47"/>
      <c r="K45" s="47"/>
      <c r="L45" s="47"/>
    </row>
    <row r="46" spans="2:16" ht="20.25">
      <c r="B46" s="53">
        <v>10</v>
      </c>
      <c r="C46" s="47" t="s">
        <v>61</v>
      </c>
      <c r="D46" s="47"/>
      <c r="E46" s="47"/>
      <c r="F46" s="47"/>
      <c r="G46" s="47"/>
      <c r="H46" s="47"/>
      <c r="I46" s="47"/>
      <c r="J46" s="47"/>
      <c r="K46" s="47"/>
      <c r="L46" s="47"/>
    </row>
    <row r="47" spans="2:16" ht="20.25">
      <c r="B47" s="53"/>
      <c r="C47" s="47"/>
      <c r="D47" s="47"/>
      <c r="E47" s="47"/>
      <c r="F47" s="47"/>
      <c r="G47" s="47"/>
      <c r="H47" s="47"/>
      <c r="I47" s="47"/>
      <c r="J47" s="47"/>
      <c r="K47" s="47"/>
      <c r="L47" s="47"/>
    </row>
    <row r="48" spans="2:16" ht="20.25">
      <c r="B48" s="53">
        <v>11</v>
      </c>
      <c r="C48" s="47" t="s">
        <v>62</v>
      </c>
      <c r="D48" s="47"/>
      <c r="E48" s="47"/>
      <c r="F48" s="47"/>
      <c r="G48" s="47"/>
      <c r="H48" s="47"/>
      <c r="I48" s="47"/>
      <c r="J48" s="47"/>
      <c r="K48" s="47"/>
      <c r="L48" s="47"/>
    </row>
    <row r="49" spans="2:17" ht="40.5">
      <c r="B49" s="53" t="s">
        <v>54</v>
      </c>
      <c r="C49" s="47" t="s">
        <v>63</v>
      </c>
      <c r="D49" s="53" t="s">
        <v>83</v>
      </c>
      <c r="E49" s="53">
        <v>4</v>
      </c>
      <c r="F49" s="47"/>
      <c r="G49" s="47"/>
      <c r="H49" s="56">
        <f>1900*$N$10</f>
        <v>1900</v>
      </c>
      <c r="I49" s="47">
        <f t="shared" si="0"/>
        <v>7600</v>
      </c>
      <c r="J49" s="47"/>
      <c r="K49" s="47">
        <f>90*$N$10</f>
        <v>90</v>
      </c>
      <c r="L49" s="47">
        <f t="shared" si="1"/>
        <v>360</v>
      </c>
    </row>
    <row r="50" spans="2:17" ht="20.25">
      <c r="B50" s="53"/>
      <c r="C50" s="47"/>
      <c r="D50" s="47"/>
      <c r="E50" s="47"/>
      <c r="F50" s="47"/>
      <c r="G50" s="47"/>
      <c r="H50" s="47"/>
      <c r="I50" s="47"/>
      <c r="J50" s="47"/>
      <c r="K50" s="47"/>
      <c r="L50" s="47"/>
    </row>
    <row r="51" spans="2:17" ht="20.25">
      <c r="B51" s="47">
        <v>12</v>
      </c>
      <c r="C51" s="47" t="s">
        <v>18</v>
      </c>
      <c r="D51" s="47"/>
      <c r="E51" s="47"/>
      <c r="F51" s="47"/>
      <c r="G51" s="47"/>
      <c r="H51" s="47"/>
      <c r="I51" s="47"/>
      <c r="J51" s="47"/>
      <c r="K51" s="47"/>
      <c r="L51" s="47"/>
    </row>
    <row r="52" spans="2:17" ht="40.5">
      <c r="B52" s="52" t="s">
        <v>54</v>
      </c>
      <c r="C52" s="47" t="s">
        <v>84</v>
      </c>
      <c r="D52" s="53" t="s">
        <v>81</v>
      </c>
      <c r="E52" s="53">
        <v>1</v>
      </c>
      <c r="F52" s="47"/>
      <c r="G52" s="47"/>
      <c r="H52" s="56">
        <f>4800*$N$10</f>
        <v>4800</v>
      </c>
      <c r="I52" s="47">
        <f t="shared" si="0"/>
        <v>4800</v>
      </c>
      <c r="J52" s="47"/>
      <c r="K52" s="47">
        <f>1100*$N$10</f>
        <v>1100</v>
      </c>
      <c r="L52" s="47">
        <f t="shared" ref="L52:L54" si="6">K52*E52</f>
        <v>1100</v>
      </c>
    </row>
    <row r="53" spans="2:17" ht="20.25">
      <c r="B53" s="52" t="s">
        <v>56</v>
      </c>
      <c r="C53" s="47" t="s">
        <v>64</v>
      </c>
      <c r="D53" s="53" t="s">
        <v>85</v>
      </c>
      <c r="E53" s="53">
        <v>2</v>
      </c>
      <c r="F53" s="47"/>
      <c r="G53" s="47"/>
      <c r="H53" s="56">
        <f>6100*$N$10</f>
        <v>6100</v>
      </c>
      <c r="I53" s="47">
        <f t="shared" si="0"/>
        <v>12200</v>
      </c>
      <c r="J53" s="47"/>
      <c r="K53" s="47">
        <f>750*$N$10</f>
        <v>750</v>
      </c>
      <c r="L53" s="47">
        <f t="shared" si="6"/>
        <v>1500</v>
      </c>
    </row>
    <row r="54" spans="2:17" ht="32.25" customHeight="1">
      <c r="B54" s="52" t="s">
        <v>89</v>
      </c>
      <c r="C54" s="47" t="s">
        <v>65</v>
      </c>
      <c r="D54" s="53" t="s">
        <v>85</v>
      </c>
      <c r="E54" s="53">
        <v>2</v>
      </c>
      <c r="F54" s="47"/>
      <c r="G54" s="47"/>
      <c r="H54" s="56">
        <f>950*$N$10</f>
        <v>950</v>
      </c>
      <c r="I54" s="47">
        <f t="shared" si="0"/>
        <v>1900</v>
      </c>
      <c r="J54" s="47"/>
      <c r="K54" s="47">
        <f>150*$N$10</f>
        <v>150</v>
      </c>
      <c r="L54" s="47">
        <f t="shared" si="6"/>
        <v>300</v>
      </c>
    </row>
    <row r="55" spans="2:17" ht="30.75" customHeight="1">
      <c r="B55" s="11"/>
      <c r="C55" s="47"/>
      <c r="D55" s="47"/>
      <c r="E55" s="47"/>
      <c r="F55" s="47"/>
      <c r="G55" s="47"/>
      <c r="H55" s="47"/>
      <c r="I55" s="47"/>
      <c r="J55" s="47"/>
      <c r="K55" s="47"/>
      <c r="L55" s="47"/>
    </row>
    <row r="56" spans="2:17" ht="25.5" customHeight="1">
      <c r="B56" s="53">
        <v>13</v>
      </c>
      <c r="C56" s="47" t="s">
        <v>86</v>
      </c>
      <c r="D56" s="53" t="s">
        <v>81</v>
      </c>
      <c r="E56" s="47">
        <v>8</v>
      </c>
      <c r="F56" s="47"/>
      <c r="G56" s="47"/>
      <c r="H56" s="56">
        <v>3200</v>
      </c>
      <c r="I56" s="47">
        <f t="shared" si="0"/>
        <v>25600</v>
      </c>
      <c r="J56" s="47"/>
      <c r="K56" s="47">
        <f>1100*$N$10</f>
        <v>1100</v>
      </c>
      <c r="L56" s="47">
        <f>K56*E56</f>
        <v>8800</v>
      </c>
      <c r="N56" s="1">
        <f>0.36</f>
        <v>0.36</v>
      </c>
      <c r="O56" s="1">
        <f>900</f>
        <v>900</v>
      </c>
      <c r="Q56" s="1">
        <f>O56/N56</f>
        <v>2500</v>
      </c>
    </row>
    <row r="57" spans="2:17" ht="20.25">
      <c r="B57" s="53"/>
      <c r="C57" s="47"/>
      <c r="D57" s="53"/>
      <c r="E57" s="47"/>
      <c r="F57" s="47"/>
      <c r="G57" s="47"/>
      <c r="H57" s="56"/>
      <c r="I57" s="47"/>
      <c r="J57" s="47"/>
      <c r="K57" s="47"/>
      <c r="L57" s="47"/>
    </row>
    <row r="58" spans="2:17" ht="27" customHeight="1">
      <c r="B58" s="53">
        <v>14</v>
      </c>
      <c r="C58" s="47" t="s">
        <v>66</v>
      </c>
      <c r="D58" s="53" t="s">
        <v>81</v>
      </c>
      <c r="E58" s="47">
        <v>5</v>
      </c>
      <c r="F58" s="47"/>
      <c r="G58" s="47"/>
      <c r="H58" s="56">
        <f>5400*$N$10</f>
        <v>5400</v>
      </c>
      <c r="I58" s="47">
        <f t="shared" si="0"/>
        <v>27000</v>
      </c>
      <c r="J58" s="47"/>
      <c r="K58" s="47">
        <f>1100*$N$10</f>
        <v>1100</v>
      </c>
      <c r="L58" s="47">
        <f t="shared" ref="L58" si="7">K58*E58</f>
        <v>5500</v>
      </c>
    </row>
    <row r="59" spans="2:17" ht="50.25" customHeight="1">
      <c r="B59" s="53">
        <v>15</v>
      </c>
      <c r="C59" s="47" t="s">
        <v>67</v>
      </c>
      <c r="D59" s="47"/>
      <c r="E59" s="47"/>
      <c r="F59" s="47"/>
      <c r="G59" s="47"/>
      <c r="H59" s="47"/>
      <c r="I59" s="47"/>
      <c r="J59" s="47"/>
      <c r="K59" s="47"/>
      <c r="L59" s="47"/>
    </row>
    <row r="60" spans="2:17" ht="36.75" customHeight="1">
      <c r="B60" s="47"/>
      <c r="C60" s="47" t="s">
        <v>87</v>
      </c>
      <c r="D60" s="47"/>
      <c r="E60" s="47"/>
      <c r="F60" s="47"/>
      <c r="G60" s="47"/>
      <c r="H60" s="47"/>
      <c r="I60" s="47"/>
      <c r="J60" s="47"/>
      <c r="K60" s="47"/>
      <c r="L60" s="47"/>
    </row>
    <row r="61" spans="2:17" ht="20.25">
      <c r="B61" s="47">
        <v>15.1</v>
      </c>
      <c r="C61" s="47" t="s">
        <v>68</v>
      </c>
      <c r="D61" s="53" t="s">
        <v>83</v>
      </c>
      <c r="E61" s="47">
        <v>0</v>
      </c>
      <c r="F61" s="47"/>
      <c r="G61" s="47"/>
      <c r="H61" s="56">
        <f>15500*$N$10</f>
        <v>15500</v>
      </c>
      <c r="I61" s="47"/>
      <c r="J61" s="47"/>
      <c r="K61" s="47">
        <f>550*$N$10</f>
        <v>550</v>
      </c>
      <c r="L61" s="47">
        <f t="shared" ref="L61:L62" si="8">K61*E61</f>
        <v>0</v>
      </c>
    </row>
    <row r="62" spans="2:17" ht="20.25">
      <c r="B62" s="47">
        <v>15.2</v>
      </c>
      <c r="C62" s="47" t="s">
        <v>69</v>
      </c>
      <c r="D62" s="53" t="s">
        <v>83</v>
      </c>
      <c r="E62" s="47">
        <v>14</v>
      </c>
      <c r="F62" s="47"/>
      <c r="G62" s="47"/>
      <c r="H62" s="56">
        <f>12500*$N$10</f>
        <v>12500</v>
      </c>
      <c r="I62" s="47">
        <f t="shared" si="0"/>
        <v>175000</v>
      </c>
      <c r="J62" s="47"/>
      <c r="K62" s="47">
        <f>550*$N$10</f>
        <v>550</v>
      </c>
      <c r="L62" s="47">
        <f t="shared" si="8"/>
        <v>7700</v>
      </c>
    </row>
    <row r="63" spans="2:17" ht="20.25">
      <c r="B63" s="47"/>
      <c r="C63" s="47"/>
      <c r="D63" s="47"/>
      <c r="E63" s="47"/>
      <c r="F63" s="47"/>
      <c r="G63" s="47"/>
      <c r="H63" s="47"/>
      <c r="I63" s="47"/>
      <c r="J63" s="47"/>
      <c r="K63" s="47"/>
      <c r="L63" s="47"/>
    </row>
    <row r="64" spans="2:17" ht="21" customHeight="1">
      <c r="B64" s="53">
        <v>16</v>
      </c>
      <c r="C64" s="47" t="s">
        <v>70</v>
      </c>
      <c r="D64" s="47"/>
      <c r="E64" s="47"/>
      <c r="F64" s="47"/>
      <c r="G64" s="47"/>
      <c r="H64" s="47"/>
      <c r="I64" s="47"/>
      <c r="J64" s="47"/>
      <c r="K64" s="47"/>
      <c r="L64" s="47"/>
    </row>
    <row r="65" spans="2:12" ht="54.75" customHeight="1">
      <c r="B65" s="47"/>
      <c r="C65" s="47" t="s">
        <v>88</v>
      </c>
      <c r="D65" s="47"/>
      <c r="E65" s="47"/>
      <c r="F65" s="47"/>
      <c r="G65" s="47"/>
      <c r="H65" s="47"/>
      <c r="I65" s="47"/>
      <c r="J65" s="47"/>
      <c r="K65" s="47"/>
      <c r="L65" s="47"/>
    </row>
    <row r="66" spans="2:12" ht="23.25" customHeight="1">
      <c r="B66" s="52" t="s">
        <v>54</v>
      </c>
      <c r="C66" s="47" t="s">
        <v>71</v>
      </c>
      <c r="D66" s="53" t="s">
        <v>83</v>
      </c>
      <c r="E66" s="53">
        <v>2</v>
      </c>
      <c r="F66" s="53"/>
      <c r="G66" s="53"/>
      <c r="H66" s="56">
        <f>23500*$N$10</f>
        <v>23500</v>
      </c>
      <c r="I66" s="47">
        <f t="shared" si="0"/>
        <v>47000</v>
      </c>
      <c r="J66" s="47"/>
      <c r="K66" s="47">
        <f>5500*$N$10</f>
        <v>5500</v>
      </c>
      <c r="L66" s="47">
        <f t="shared" ref="L66" si="9">K66*E66</f>
        <v>11000</v>
      </c>
    </row>
    <row r="67" spans="2:12" ht="23.25" customHeight="1">
      <c r="B67" s="47"/>
      <c r="C67" s="47"/>
      <c r="D67" s="47"/>
      <c r="E67" s="47"/>
      <c r="F67" s="47"/>
      <c r="G67" s="47"/>
      <c r="H67" s="47"/>
      <c r="I67" s="47"/>
      <c r="J67" s="47"/>
      <c r="K67" s="47"/>
      <c r="L67" s="47"/>
    </row>
    <row r="68" spans="2:12" ht="20.25">
      <c r="B68" s="53">
        <v>17</v>
      </c>
      <c r="C68" s="47" t="s">
        <v>72</v>
      </c>
      <c r="D68" s="47"/>
      <c r="E68" s="47"/>
      <c r="F68" s="47"/>
      <c r="G68" s="47"/>
      <c r="H68" s="47"/>
      <c r="I68" s="47"/>
      <c r="J68" s="47"/>
      <c r="K68" s="47"/>
      <c r="L68" s="47"/>
    </row>
    <row r="69" spans="2:12" ht="23.25" customHeight="1">
      <c r="B69" s="52" t="s">
        <v>54</v>
      </c>
      <c r="C69" s="47" t="s">
        <v>73</v>
      </c>
      <c r="D69" s="53" t="s">
        <v>78</v>
      </c>
      <c r="E69" s="47">
        <v>100</v>
      </c>
      <c r="F69" s="47"/>
      <c r="G69" s="47"/>
      <c r="H69" s="56">
        <f>120*$N$10</f>
        <v>120</v>
      </c>
      <c r="I69" s="47">
        <f t="shared" si="0"/>
        <v>12000</v>
      </c>
      <c r="J69" s="47"/>
      <c r="K69" s="47">
        <f>70*$N$10</f>
        <v>70</v>
      </c>
      <c r="L69" s="47">
        <f t="shared" si="1"/>
        <v>7000</v>
      </c>
    </row>
    <row r="70" spans="2:12" ht="23.25" customHeight="1">
      <c r="B70" s="52" t="s">
        <v>56</v>
      </c>
      <c r="C70" s="47" t="s">
        <v>74</v>
      </c>
      <c r="D70" s="53" t="s">
        <v>78</v>
      </c>
      <c r="E70" s="47">
        <v>30</v>
      </c>
      <c r="F70" s="47"/>
      <c r="G70" s="47"/>
      <c r="H70" s="56">
        <f>154*$N$10</f>
        <v>154</v>
      </c>
      <c r="I70" s="47">
        <f t="shared" si="0"/>
        <v>4620</v>
      </c>
      <c r="J70" s="47"/>
      <c r="K70" s="47">
        <f>80*$N$10</f>
        <v>80</v>
      </c>
      <c r="L70" s="47">
        <f t="shared" si="1"/>
        <v>2400</v>
      </c>
    </row>
    <row r="71" spans="2:12" ht="20.25">
      <c r="B71" s="52" t="s">
        <v>89</v>
      </c>
      <c r="C71" s="47" t="s">
        <v>75</v>
      </c>
      <c r="D71" s="53" t="s">
        <v>78</v>
      </c>
      <c r="E71" s="47">
        <v>100</v>
      </c>
      <c r="F71" s="47"/>
      <c r="G71" s="47"/>
      <c r="H71" s="56">
        <f>70*$N$10</f>
        <v>70</v>
      </c>
      <c r="I71" s="47">
        <f t="shared" si="0"/>
        <v>7000</v>
      </c>
      <c r="J71" s="47"/>
      <c r="K71" s="47">
        <f>65*$N$10</f>
        <v>65</v>
      </c>
      <c r="L71" s="47">
        <f t="shared" si="1"/>
        <v>6500</v>
      </c>
    </row>
    <row r="72" spans="2:12" ht="20.25">
      <c r="B72" s="47"/>
      <c r="C72" s="47"/>
      <c r="D72" s="47"/>
      <c r="E72" s="47"/>
      <c r="F72" s="47"/>
      <c r="G72" s="47"/>
      <c r="H72" s="47"/>
      <c r="I72" s="47"/>
      <c r="J72" s="47"/>
      <c r="K72" s="47"/>
      <c r="L72" s="47"/>
    </row>
    <row r="73" spans="2:12" ht="21.75" customHeight="1">
      <c r="B73" s="47"/>
      <c r="C73" s="47"/>
      <c r="D73" s="47"/>
      <c r="E73" s="47"/>
      <c r="F73" s="47"/>
      <c r="G73" s="47"/>
      <c r="H73" s="47"/>
      <c r="I73" s="47"/>
      <c r="J73" s="47"/>
      <c r="K73" s="47"/>
      <c r="L73" s="47"/>
    </row>
    <row r="74" spans="2:12" ht="20.25">
      <c r="B74" s="10"/>
      <c r="C74" s="46"/>
      <c r="D74" s="9"/>
      <c r="E74" s="8"/>
      <c r="F74" s="12"/>
      <c r="G74" s="20"/>
      <c r="H74" s="12"/>
      <c r="I74" s="14"/>
      <c r="J74" s="14"/>
      <c r="K74" s="14"/>
      <c r="L74" s="7"/>
    </row>
    <row r="75" spans="2:12" ht="20.25">
      <c r="B75" s="34"/>
      <c r="C75" s="28"/>
      <c r="D75" s="29"/>
      <c r="E75" s="29"/>
      <c r="F75" s="30"/>
      <c r="G75" s="31"/>
      <c r="H75" s="49" t="s">
        <v>22</v>
      </c>
      <c r="I75" s="32">
        <f>SUM(I16:I74)</f>
        <v>980240</v>
      </c>
      <c r="J75" s="32"/>
      <c r="K75" s="32"/>
      <c r="L75" s="35">
        <f>SUM(L16:L74)</f>
        <v>195430</v>
      </c>
    </row>
    <row r="76" spans="2:12" ht="20.25">
      <c r="B76" s="36"/>
      <c r="C76" s="15"/>
      <c r="D76" s="15"/>
      <c r="E76" s="15"/>
      <c r="F76" s="15"/>
      <c r="G76" s="15"/>
      <c r="H76" s="15" t="s">
        <v>23</v>
      </c>
      <c r="I76" s="18"/>
      <c r="J76" s="18"/>
      <c r="K76" s="16"/>
      <c r="L76" s="37"/>
    </row>
    <row r="77" spans="2:12" ht="40.5">
      <c r="B77" s="36"/>
      <c r="C77" s="17"/>
      <c r="D77" s="15"/>
      <c r="E77" s="15"/>
      <c r="F77" s="17"/>
      <c r="G77" s="17"/>
      <c r="H77" s="17" t="s">
        <v>33</v>
      </c>
      <c r="I77" s="18">
        <f>L75</f>
        <v>195430</v>
      </c>
      <c r="J77" s="18"/>
      <c r="K77" s="16"/>
      <c r="L77" s="27"/>
    </row>
    <row r="78" spans="2:12" ht="20.25">
      <c r="B78" s="36"/>
      <c r="C78" s="15"/>
      <c r="D78" s="15"/>
      <c r="E78" s="15"/>
      <c r="F78" s="15"/>
      <c r="G78" s="15"/>
      <c r="H78" s="15" t="s">
        <v>24</v>
      </c>
      <c r="I78" s="42">
        <f>I75+I76+I77</f>
        <v>1175670</v>
      </c>
      <c r="J78" s="42"/>
      <c r="K78" s="16"/>
      <c r="L78" s="27"/>
    </row>
    <row r="79" spans="2:12" ht="37.5" customHeight="1" thickBot="1">
      <c r="B79" s="38"/>
      <c r="C79" s="39" t="s">
        <v>20</v>
      </c>
      <c r="D79" s="40"/>
      <c r="E79" s="2"/>
      <c r="F79" s="2"/>
      <c r="G79" s="40"/>
      <c r="H79" s="40"/>
      <c r="I79" s="40"/>
      <c r="J79" s="40"/>
      <c r="K79" s="40"/>
      <c r="L79" s="41"/>
    </row>
    <row r="80" spans="2:12" ht="20.25">
      <c r="B80" s="33"/>
      <c r="C80" s="58" t="s">
        <v>4</v>
      </c>
      <c r="D80" s="58"/>
      <c r="E80" s="58"/>
      <c r="F80" s="58"/>
      <c r="G80" s="58"/>
      <c r="H80" s="58"/>
      <c r="I80" s="58"/>
      <c r="J80" s="58"/>
      <c r="K80" s="58"/>
      <c r="L80" s="58"/>
    </row>
    <row r="81" spans="2:12" ht="20.25">
      <c r="B81" s="22"/>
      <c r="C81" s="57" t="s">
        <v>34</v>
      </c>
      <c r="D81" s="57"/>
      <c r="E81" s="57"/>
      <c r="F81" s="57"/>
      <c r="G81" s="57"/>
      <c r="H81" s="57"/>
      <c r="I81" s="57"/>
      <c r="J81" s="57"/>
      <c r="K81" s="57"/>
      <c r="L81" s="57"/>
    </row>
    <row r="82" spans="2:12" ht="30.75" customHeight="1">
      <c r="B82" s="22"/>
      <c r="C82" s="57" t="s">
        <v>38</v>
      </c>
      <c r="D82" s="57"/>
      <c r="E82" s="57"/>
      <c r="F82" s="57"/>
      <c r="G82" s="57"/>
      <c r="H82" s="57"/>
      <c r="I82" s="57"/>
      <c r="J82" s="57"/>
      <c r="K82" s="57"/>
      <c r="L82" s="57"/>
    </row>
    <row r="83" spans="2:12" ht="33.75" customHeight="1">
      <c r="B83" s="22"/>
      <c r="C83" s="57" t="s">
        <v>5</v>
      </c>
      <c r="D83" s="57"/>
      <c r="E83" s="57"/>
      <c r="F83" s="57"/>
      <c r="G83" s="57"/>
      <c r="H83" s="57"/>
      <c r="I83" s="57"/>
      <c r="J83" s="57"/>
      <c r="K83" s="57"/>
      <c r="L83" s="57"/>
    </row>
    <row r="84" spans="2:12" ht="26.25" customHeight="1">
      <c r="B84" s="22"/>
      <c r="C84" s="57" t="s">
        <v>6</v>
      </c>
      <c r="D84" s="57"/>
      <c r="E84" s="57"/>
      <c r="F84" s="57"/>
      <c r="G84" s="57"/>
      <c r="H84" s="57"/>
      <c r="I84" s="57"/>
      <c r="J84" s="57"/>
      <c r="K84" s="57"/>
      <c r="L84" s="57"/>
    </row>
    <row r="85" spans="2:12" ht="27.75" customHeight="1">
      <c r="B85" s="22"/>
      <c r="C85" s="57" t="s">
        <v>7</v>
      </c>
      <c r="D85" s="57"/>
      <c r="E85" s="57"/>
      <c r="F85" s="57"/>
      <c r="G85" s="57"/>
      <c r="H85" s="57"/>
      <c r="I85" s="57"/>
      <c r="J85" s="57"/>
      <c r="K85" s="57"/>
      <c r="L85" s="57"/>
    </row>
    <row r="86" spans="2:12" ht="20.25">
      <c r="B86" s="22"/>
      <c r="C86" s="57" t="s">
        <v>35</v>
      </c>
      <c r="D86" s="57"/>
      <c r="E86" s="57"/>
      <c r="F86" s="57"/>
      <c r="G86" s="57"/>
      <c r="H86" s="57"/>
      <c r="I86" s="57"/>
      <c r="J86" s="57"/>
      <c r="K86" s="57"/>
      <c r="L86" s="57"/>
    </row>
    <row r="87" spans="2:12" ht="30" customHeight="1">
      <c r="B87" s="22"/>
      <c r="C87" s="57" t="s">
        <v>8</v>
      </c>
      <c r="D87" s="57"/>
      <c r="E87" s="57"/>
      <c r="F87" s="57"/>
      <c r="G87" s="57"/>
      <c r="H87" s="57"/>
      <c r="I87" s="57"/>
      <c r="J87" s="57"/>
      <c r="K87" s="57"/>
      <c r="L87" s="57"/>
    </row>
    <row r="88" spans="2:12" ht="20.25">
      <c r="B88" s="23"/>
      <c r="C88" s="57" t="s">
        <v>9</v>
      </c>
      <c r="D88" s="57"/>
      <c r="E88" s="57"/>
      <c r="F88" s="57"/>
      <c r="G88" s="57"/>
      <c r="H88" s="57"/>
      <c r="I88" s="57"/>
      <c r="J88" s="57"/>
      <c r="K88" s="57"/>
      <c r="L88" s="57"/>
    </row>
    <row r="89" spans="2:12" ht="20.25">
      <c r="B89" s="23"/>
      <c r="C89" s="57" t="s">
        <v>10</v>
      </c>
      <c r="D89" s="57"/>
      <c r="E89" s="57"/>
      <c r="F89" s="57"/>
      <c r="G89" s="57"/>
      <c r="H89" s="57"/>
      <c r="I89" s="57"/>
      <c r="J89" s="57"/>
      <c r="K89" s="57"/>
      <c r="L89" s="57"/>
    </row>
    <row r="90" spans="2:12" ht="20.25">
      <c r="B90" s="23"/>
      <c r="C90" s="57" t="s">
        <v>11</v>
      </c>
      <c r="D90" s="57"/>
      <c r="E90" s="57"/>
      <c r="F90" s="57"/>
      <c r="G90" s="57"/>
      <c r="H90" s="57"/>
      <c r="I90" s="57"/>
      <c r="J90" s="57"/>
      <c r="K90" s="57"/>
      <c r="L90" s="57"/>
    </row>
    <row r="91" spans="2:12" ht="20.25">
      <c r="B91" s="23"/>
      <c r="C91" s="57" t="s">
        <v>12</v>
      </c>
      <c r="D91" s="57"/>
      <c r="E91" s="57"/>
      <c r="F91" s="57"/>
      <c r="G91" s="57"/>
      <c r="H91" s="57"/>
      <c r="I91" s="57"/>
      <c r="J91" s="57"/>
      <c r="K91" s="57"/>
      <c r="L91" s="57"/>
    </row>
    <row r="92" spans="2:12" ht="20.25">
      <c r="B92" s="23"/>
      <c r="C92" s="57" t="s">
        <v>13</v>
      </c>
      <c r="D92" s="57"/>
      <c r="E92" s="57"/>
      <c r="F92" s="57"/>
      <c r="G92" s="57"/>
      <c r="H92" s="57"/>
      <c r="I92" s="57"/>
      <c r="J92" s="57"/>
      <c r="K92" s="57"/>
      <c r="L92" s="57"/>
    </row>
    <row r="93" spans="2:12" ht="20.25">
      <c r="B93" s="21"/>
      <c r="C93" s="57" t="s">
        <v>36</v>
      </c>
      <c r="D93" s="57"/>
      <c r="E93" s="57"/>
      <c r="F93" s="57"/>
      <c r="G93" s="57"/>
      <c r="H93" s="57"/>
      <c r="I93" s="57"/>
      <c r="J93" s="57"/>
      <c r="K93" s="57"/>
      <c r="L93" s="57"/>
    </row>
    <row r="100" ht="27.75" customHeight="1"/>
    <row r="101" ht="44.25" customHeight="1"/>
    <row r="102" ht="40.5" customHeight="1"/>
    <row r="103" ht="40.5" customHeight="1"/>
    <row r="104" ht="39.75" customHeight="1"/>
    <row r="105" ht="58.5" customHeight="1"/>
    <row r="106" ht="58.5" customHeight="1"/>
    <row r="107" ht="39.75" customHeight="1"/>
    <row r="108" ht="39" customHeight="1"/>
    <row r="109" ht="37.5" customHeight="1"/>
    <row r="110" ht="39.75" customHeight="1"/>
    <row r="111" ht="30" customHeight="1"/>
    <row r="112" ht="62.25" customHeight="1"/>
  </sheetData>
  <mergeCells count="27">
    <mergeCell ref="B13:L13"/>
    <mergeCell ref="B2:L6"/>
    <mergeCell ref="E7:L7"/>
    <mergeCell ref="E8:L8"/>
    <mergeCell ref="E9:L9"/>
    <mergeCell ref="E10:L10"/>
    <mergeCell ref="E11:L11"/>
    <mergeCell ref="E12:L12"/>
    <mergeCell ref="B7:D7"/>
    <mergeCell ref="B8:D8"/>
    <mergeCell ref="B9:D9"/>
    <mergeCell ref="B10:D10"/>
    <mergeCell ref="B12:D12"/>
    <mergeCell ref="C85:L85"/>
    <mergeCell ref="C86:L86"/>
    <mergeCell ref="C87:L87"/>
    <mergeCell ref="C93:L93"/>
    <mergeCell ref="C80:L80"/>
    <mergeCell ref="C81:L81"/>
    <mergeCell ref="C89:L89"/>
    <mergeCell ref="C90:L90"/>
    <mergeCell ref="C91:L91"/>
    <mergeCell ref="C92:L92"/>
    <mergeCell ref="C82:L82"/>
    <mergeCell ref="C83:L83"/>
    <mergeCell ref="C88:L88"/>
    <mergeCell ref="C84:L84"/>
  </mergeCells>
  <printOptions horizontalCentered="1"/>
  <pageMargins left="0.25" right="0.25" top="0.49803149600000002" bottom="0.49803149600000002" header="0.31496062992126" footer="0.31496062992126"/>
  <pageSetup paperSize="9" scale="31" fitToHeight="3" orientation="portrait" r:id="rId1"/>
  <rowBreaks count="1" manualBreakCount="1">
    <brk id="61" min="1"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Ground Floor</vt:lpstr>
      <vt:lpstr>'Ground Floor'!Print_Area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Zep Marketing</dc:creator>
  <cp:lastModifiedBy>Saurabh Saxena</cp:lastModifiedBy>
  <cp:lastPrinted>2020-09-04T11:02:10Z</cp:lastPrinted>
  <dcterms:created xsi:type="dcterms:W3CDTF">2018-11-01T04:59:05Z</dcterms:created>
  <dcterms:modified xsi:type="dcterms:W3CDTF">2020-09-29T09:52:59Z</dcterms:modified>
</cp:coreProperties>
</file>